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ax/Documents/Lab Documents/Weissman Lab/CRISPR/"/>
    </mc:Choice>
  </mc:AlternateContent>
  <bookViews>
    <workbookView xWindow="1040" yWindow="1680" windowWidth="27760" windowHeight="16380" tabRatio="500"/>
  </bookViews>
  <sheets>
    <sheet name="human_sublibrarie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</calcChain>
</file>

<file path=xl/sharedStrings.xml><?xml version="1.0" encoding="utf-8"?>
<sst xmlns="http://schemas.openxmlformats.org/spreadsheetml/2006/main" count="18921" uniqueCount="16">
  <si>
    <t>gene</t>
  </si>
  <si>
    <t>Sublibrary</t>
  </si>
  <si>
    <t>h3</t>
  </si>
  <si>
    <t>h2</t>
  </si>
  <si>
    <t>h7</t>
  </si>
  <si>
    <t>h6</t>
  </si>
  <si>
    <t>h4</t>
  </si>
  <si>
    <t>h1</t>
  </si>
  <si>
    <t>h5</t>
  </si>
  <si>
    <t>h1-Kinases/Phosphatases/Drug Targets</t>
  </si>
  <si>
    <t>h2-Cancer/Apoptosis</t>
  </si>
  <si>
    <t>h3-Stress/Proteostasis</t>
  </si>
  <si>
    <t>h4-Mitochondria/Trafficking/Motility</t>
  </si>
  <si>
    <t>h5-Gene Expression</t>
  </si>
  <si>
    <t>h6-Membrane Proteins</t>
  </si>
  <si>
    <t>h7-Unassigned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</si>
</sst>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921"/>
  <sheetViews>
    <sheetView tabSelected="1" workbookViewId="0">
      <pane ySplit="8" topLeftCell="A9" activePane="bottomLeft" state="frozen"/>
      <selection pane="bottomLeft" activeCell="F11" sqref="F11"/>
    </sheetView>
  </sheetViews>
  <sheetFormatPr baseColWidth="10" defaultRowHeight="16" x14ac:dyDescent="0.2"/>
  <cols>
    <col min="1" max="1" width="17.33203125" bestFit="1" customWidth="1"/>
    <col min="2" max="2" width="33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B2" s="1" t="s">
        <v>9</v>
      </c>
    </row>
    <row r="3" spans="1:2" x14ac:dyDescent="0.2">
      <c r="B3" s="1" t="s">
        <v>10</v>
      </c>
    </row>
    <row r="4" spans="1:2" x14ac:dyDescent="0.2">
      <c r="B4" s="1" t="s">
        <v>11</v>
      </c>
    </row>
    <row r="5" spans="1:2" x14ac:dyDescent="0.2">
      <c r="B5" s="1" t="s">
        <v>12</v>
      </c>
    </row>
    <row r="6" spans="1:2" x14ac:dyDescent="0.2">
      <c r="B6" s="1" t="s">
        <v>13</v>
      </c>
    </row>
    <row r="7" spans="1:2" x14ac:dyDescent="0.2">
      <c r="B7" s="1" t="s">
        <v>14</v>
      </c>
    </row>
    <row r="8" spans="1:2" ht="17" thickBot="1" x14ac:dyDescent="0.25">
      <c r="A8" s="2"/>
      <c r="B8" s="3" t="s">
        <v>15</v>
      </c>
    </row>
    <row r="9" spans="1:2" ht="17" thickTop="1" x14ac:dyDescent="0.2">
      <c r="B9" s="1"/>
    </row>
    <row r="10" spans="1:2" x14ac:dyDescent="0.2">
      <c r="A10" t="str">
        <f>"A1BG"</f>
        <v>A1BG</v>
      </c>
      <c r="B10" t="s">
        <v>2</v>
      </c>
    </row>
    <row r="11" spans="1:2" x14ac:dyDescent="0.2">
      <c r="A11" t="str">
        <f>"A1CF"</f>
        <v>A1CF</v>
      </c>
      <c r="B11" t="s">
        <v>2</v>
      </c>
    </row>
    <row r="12" spans="1:2" x14ac:dyDescent="0.2">
      <c r="A12" t="str">
        <f>"A2M"</f>
        <v>A2M</v>
      </c>
      <c r="B12" t="s">
        <v>3</v>
      </c>
    </row>
    <row r="13" spans="1:2" x14ac:dyDescent="0.2">
      <c r="A13" t="str">
        <f>"A2ML1"</f>
        <v>A2ML1</v>
      </c>
      <c r="B13" t="s">
        <v>4</v>
      </c>
    </row>
    <row r="14" spans="1:2" x14ac:dyDescent="0.2">
      <c r="A14" t="str">
        <f>"A3GALT2"</f>
        <v>A3GALT2</v>
      </c>
      <c r="B14" t="s">
        <v>5</v>
      </c>
    </row>
    <row r="15" spans="1:2" x14ac:dyDescent="0.2">
      <c r="A15" t="str">
        <f>"A4GALT"</f>
        <v>A4GALT</v>
      </c>
      <c r="B15" t="s">
        <v>3</v>
      </c>
    </row>
    <row r="16" spans="1:2" x14ac:dyDescent="0.2">
      <c r="A16" t="str">
        <f>"A4GNT"</f>
        <v>A4GNT</v>
      </c>
      <c r="B16" t="s">
        <v>4</v>
      </c>
    </row>
    <row r="17" spans="1:2" x14ac:dyDescent="0.2">
      <c r="A17" t="str">
        <f>"AAAS"</f>
        <v>AAAS</v>
      </c>
      <c r="B17" t="s">
        <v>6</v>
      </c>
    </row>
    <row r="18" spans="1:2" x14ac:dyDescent="0.2">
      <c r="A18" t="str">
        <f>"AACS"</f>
        <v>AACS</v>
      </c>
      <c r="B18" t="s">
        <v>3</v>
      </c>
    </row>
    <row r="19" spans="1:2" x14ac:dyDescent="0.2">
      <c r="A19" t="str">
        <f>"AADAC"</f>
        <v>AADAC</v>
      </c>
      <c r="B19" t="s">
        <v>2</v>
      </c>
    </row>
    <row r="20" spans="1:2" x14ac:dyDescent="0.2">
      <c r="A20" t="str">
        <f>"AADACL2"</f>
        <v>AADACL2</v>
      </c>
      <c r="B20" t="s">
        <v>7</v>
      </c>
    </row>
    <row r="21" spans="1:2" x14ac:dyDescent="0.2">
      <c r="A21" t="str">
        <f>"AADACL3"</f>
        <v>AADACL3</v>
      </c>
      <c r="B21" t="s">
        <v>5</v>
      </c>
    </row>
    <row r="22" spans="1:2" x14ac:dyDescent="0.2">
      <c r="A22" t="str">
        <f>"AADACL4"</f>
        <v>AADACL4</v>
      </c>
      <c r="B22" t="s">
        <v>5</v>
      </c>
    </row>
    <row r="23" spans="1:2" x14ac:dyDescent="0.2">
      <c r="A23" t="str">
        <f>"AADAT"</f>
        <v>AADAT</v>
      </c>
      <c r="B23" t="s">
        <v>7</v>
      </c>
    </row>
    <row r="24" spans="1:2" x14ac:dyDescent="0.2">
      <c r="A24" t="str">
        <f>"AAED1"</f>
        <v>AAED1</v>
      </c>
      <c r="B24" t="s">
        <v>4</v>
      </c>
    </row>
    <row r="25" spans="1:2" x14ac:dyDescent="0.2">
      <c r="A25" t="str">
        <f>"AAGAB"</f>
        <v>AAGAB</v>
      </c>
      <c r="B25" t="s">
        <v>4</v>
      </c>
    </row>
    <row r="26" spans="1:2" x14ac:dyDescent="0.2">
      <c r="A26" t="str">
        <f>"AAK1"</f>
        <v>AAK1</v>
      </c>
      <c r="B26" t="s">
        <v>7</v>
      </c>
    </row>
    <row r="27" spans="1:2" x14ac:dyDescent="0.2">
      <c r="A27" t="str">
        <f>"AAMDC"</f>
        <v>AAMDC</v>
      </c>
      <c r="B27" t="s">
        <v>4</v>
      </c>
    </row>
    <row r="28" spans="1:2" x14ac:dyDescent="0.2">
      <c r="A28" t="str">
        <f>"AAMP"</f>
        <v>AAMP</v>
      </c>
      <c r="B28" t="s">
        <v>2</v>
      </c>
    </row>
    <row r="29" spans="1:2" x14ac:dyDescent="0.2">
      <c r="A29" t="str">
        <f>"AANAT"</f>
        <v>AANAT</v>
      </c>
      <c r="B29" t="s">
        <v>7</v>
      </c>
    </row>
    <row r="30" spans="1:2" x14ac:dyDescent="0.2">
      <c r="A30" t="str">
        <f>"AAR2"</f>
        <v>AAR2</v>
      </c>
      <c r="B30" t="s">
        <v>4</v>
      </c>
    </row>
    <row r="31" spans="1:2" x14ac:dyDescent="0.2">
      <c r="A31" t="str">
        <f>"AARD"</f>
        <v>AARD</v>
      </c>
      <c r="B31" t="s">
        <v>4</v>
      </c>
    </row>
    <row r="32" spans="1:2" x14ac:dyDescent="0.2">
      <c r="A32" t="str">
        <f>"AARS"</f>
        <v>AARS</v>
      </c>
      <c r="B32" t="s">
        <v>7</v>
      </c>
    </row>
    <row r="33" spans="1:2" x14ac:dyDescent="0.2">
      <c r="A33" t="str">
        <f>"AARS2"</f>
        <v>AARS2</v>
      </c>
      <c r="B33" t="s">
        <v>7</v>
      </c>
    </row>
    <row r="34" spans="1:2" x14ac:dyDescent="0.2">
      <c r="A34" t="str">
        <f>"AARSD1"</f>
        <v>AARSD1</v>
      </c>
      <c r="B34" t="s">
        <v>8</v>
      </c>
    </row>
    <row r="35" spans="1:2" x14ac:dyDescent="0.2">
      <c r="A35" t="str">
        <f>"AASDH"</f>
        <v>AASDH</v>
      </c>
      <c r="B35" t="s">
        <v>6</v>
      </c>
    </row>
    <row r="36" spans="1:2" x14ac:dyDescent="0.2">
      <c r="A36" t="str">
        <f>"AASDHPPT"</f>
        <v>AASDHPPT</v>
      </c>
      <c r="B36" t="s">
        <v>2</v>
      </c>
    </row>
    <row r="37" spans="1:2" x14ac:dyDescent="0.2">
      <c r="A37" t="str">
        <f>"AASS"</f>
        <v>AASS</v>
      </c>
      <c r="B37" t="s">
        <v>7</v>
      </c>
    </row>
    <row r="38" spans="1:2" x14ac:dyDescent="0.2">
      <c r="A38" t="str">
        <f>"AATF"</f>
        <v>AATF</v>
      </c>
      <c r="B38" t="s">
        <v>3</v>
      </c>
    </row>
    <row r="39" spans="1:2" x14ac:dyDescent="0.2">
      <c r="A39" t="str">
        <f>"AATK"</f>
        <v>AATK</v>
      </c>
      <c r="B39" t="s">
        <v>7</v>
      </c>
    </row>
    <row r="40" spans="1:2" x14ac:dyDescent="0.2">
      <c r="A40" t="str">
        <f>"ABAT"</f>
        <v>ABAT</v>
      </c>
      <c r="B40" t="s">
        <v>7</v>
      </c>
    </row>
    <row r="41" spans="1:2" x14ac:dyDescent="0.2">
      <c r="A41" t="str">
        <f>"ABCA1"</f>
        <v>ABCA1</v>
      </c>
      <c r="B41" t="s">
        <v>3</v>
      </c>
    </row>
    <row r="42" spans="1:2" x14ac:dyDescent="0.2">
      <c r="A42" t="str">
        <f>"ABCA10"</f>
        <v>ABCA10</v>
      </c>
      <c r="B42" t="s">
        <v>5</v>
      </c>
    </row>
    <row r="43" spans="1:2" x14ac:dyDescent="0.2">
      <c r="A43" t="str">
        <f>"ABCA12"</f>
        <v>ABCA12</v>
      </c>
      <c r="B43" t="s">
        <v>2</v>
      </c>
    </row>
    <row r="44" spans="1:2" x14ac:dyDescent="0.2">
      <c r="A44" t="str">
        <f>"ABCA13"</f>
        <v>ABCA13</v>
      </c>
      <c r="B44" t="s">
        <v>3</v>
      </c>
    </row>
    <row r="45" spans="1:2" x14ac:dyDescent="0.2">
      <c r="A45" t="str">
        <f>"ABCA2"</f>
        <v>ABCA2</v>
      </c>
      <c r="B45" t="s">
        <v>2</v>
      </c>
    </row>
    <row r="46" spans="1:2" x14ac:dyDescent="0.2">
      <c r="A46" t="str">
        <f>"ABCA3"</f>
        <v>ABCA3</v>
      </c>
      <c r="B46" t="s">
        <v>3</v>
      </c>
    </row>
    <row r="47" spans="1:2" x14ac:dyDescent="0.2">
      <c r="A47" t="str">
        <f>"ABCA4"</f>
        <v>ABCA4</v>
      </c>
      <c r="B47" t="s">
        <v>3</v>
      </c>
    </row>
    <row r="48" spans="1:2" x14ac:dyDescent="0.2">
      <c r="A48" t="str">
        <f>"ABCA5"</f>
        <v>ABCA5</v>
      </c>
      <c r="B48" t="s">
        <v>3</v>
      </c>
    </row>
    <row r="49" spans="1:2" x14ac:dyDescent="0.2">
      <c r="A49" t="str">
        <f>"ABCA6"</f>
        <v>ABCA6</v>
      </c>
      <c r="B49" t="s">
        <v>3</v>
      </c>
    </row>
    <row r="50" spans="1:2" x14ac:dyDescent="0.2">
      <c r="A50" t="str">
        <f>"ABCA7"</f>
        <v>ABCA7</v>
      </c>
      <c r="B50" t="s">
        <v>3</v>
      </c>
    </row>
    <row r="51" spans="1:2" x14ac:dyDescent="0.2">
      <c r="A51" t="str">
        <f>"ABCA8"</f>
        <v>ABCA8</v>
      </c>
      <c r="B51" t="s">
        <v>6</v>
      </c>
    </row>
    <row r="52" spans="1:2" x14ac:dyDescent="0.2">
      <c r="A52" t="str">
        <f>"ABCA9"</f>
        <v>ABCA9</v>
      </c>
      <c r="B52" t="s">
        <v>3</v>
      </c>
    </row>
    <row r="53" spans="1:2" x14ac:dyDescent="0.2">
      <c r="A53" t="str">
        <f>"ABCB1"</f>
        <v>ABCB1</v>
      </c>
      <c r="B53" t="s">
        <v>3</v>
      </c>
    </row>
    <row r="54" spans="1:2" x14ac:dyDescent="0.2">
      <c r="A54" t="str">
        <f>"ABCB10"</f>
        <v>ABCB10</v>
      </c>
      <c r="B54" t="s">
        <v>3</v>
      </c>
    </row>
    <row r="55" spans="1:2" x14ac:dyDescent="0.2">
      <c r="A55" t="str">
        <f>"ABCB11"</f>
        <v>ABCB11</v>
      </c>
      <c r="B55" t="s">
        <v>3</v>
      </c>
    </row>
    <row r="56" spans="1:2" x14ac:dyDescent="0.2">
      <c r="A56" t="str">
        <f>"ABCB4"</f>
        <v>ABCB4</v>
      </c>
      <c r="B56" t="s">
        <v>6</v>
      </c>
    </row>
    <row r="57" spans="1:2" x14ac:dyDescent="0.2">
      <c r="A57" t="str">
        <f>"ABCB5"</f>
        <v>ABCB5</v>
      </c>
      <c r="B57" t="s">
        <v>5</v>
      </c>
    </row>
    <row r="58" spans="1:2" x14ac:dyDescent="0.2">
      <c r="A58" t="str">
        <f>"ABCB6"</f>
        <v>ABCB6</v>
      </c>
      <c r="B58" t="s">
        <v>2</v>
      </c>
    </row>
    <row r="59" spans="1:2" x14ac:dyDescent="0.2">
      <c r="A59" t="str">
        <f>"ABCB7"</f>
        <v>ABCB7</v>
      </c>
      <c r="B59" t="s">
        <v>2</v>
      </c>
    </row>
    <row r="60" spans="1:2" x14ac:dyDescent="0.2">
      <c r="A60" t="str">
        <f>"ABCB8"</f>
        <v>ABCB8</v>
      </c>
      <c r="B60" t="s">
        <v>3</v>
      </c>
    </row>
    <row r="61" spans="1:2" x14ac:dyDescent="0.2">
      <c r="A61" t="str">
        <f>"ABCB9"</f>
        <v>ABCB9</v>
      </c>
      <c r="B61" t="s">
        <v>2</v>
      </c>
    </row>
    <row r="62" spans="1:2" x14ac:dyDescent="0.2">
      <c r="A62" t="str">
        <f>"ABCC1"</f>
        <v>ABCC1</v>
      </c>
      <c r="B62" t="s">
        <v>3</v>
      </c>
    </row>
    <row r="63" spans="1:2" x14ac:dyDescent="0.2">
      <c r="A63" t="str">
        <f>"ABCC10"</f>
        <v>ABCC10</v>
      </c>
      <c r="B63" t="s">
        <v>5</v>
      </c>
    </row>
    <row r="64" spans="1:2" x14ac:dyDescent="0.2">
      <c r="A64" t="str">
        <f>"ABCC11"</f>
        <v>ABCC11</v>
      </c>
      <c r="B64" t="s">
        <v>5</v>
      </c>
    </row>
    <row r="65" spans="1:2" x14ac:dyDescent="0.2">
      <c r="A65" t="str">
        <f>"ABCC12"</f>
        <v>ABCC12</v>
      </c>
      <c r="B65" t="s">
        <v>6</v>
      </c>
    </row>
    <row r="66" spans="1:2" x14ac:dyDescent="0.2">
      <c r="A66" t="str">
        <f>"ABCC2"</f>
        <v>ABCC2</v>
      </c>
      <c r="B66" t="s">
        <v>7</v>
      </c>
    </row>
    <row r="67" spans="1:2" x14ac:dyDescent="0.2">
      <c r="A67" t="str">
        <f>"ABCC3"</f>
        <v>ABCC3</v>
      </c>
      <c r="B67" t="s">
        <v>3</v>
      </c>
    </row>
    <row r="68" spans="1:2" x14ac:dyDescent="0.2">
      <c r="A68" t="str">
        <f>"ABCC4"</f>
        <v>ABCC4</v>
      </c>
      <c r="B68" t="s">
        <v>3</v>
      </c>
    </row>
    <row r="69" spans="1:2" x14ac:dyDescent="0.2">
      <c r="A69" t="str">
        <f>"ABCC5"</f>
        <v>ABCC5</v>
      </c>
      <c r="B69" t="s">
        <v>2</v>
      </c>
    </row>
    <row r="70" spans="1:2" x14ac:dyDescent="0.2">
      <c r="A70" t="str">
        <f>"ABCC6"</f>
        <v>ABCC6</v>
      </c>
      <c r="B70" t="s">
        <v>5</v>
      </c>
    </row>
    <row r="71" spans="1:2" x14ac:dyDescent="0.2">
      <c r="A71" t="str">
        <f>"ABCC8"</f>
        <v>ABCC8</v>
      </c>
      <c r="B71" t="s">
        <v>7</v>
      </c>
    </row>
    <row r="72" spans="1:2" x14ac:dyDescent="0.2">
      <c r="A72" t="str">
        <f>"ABCC9"</f>
        <v>ABCC9</v>
      </c>
      <c r="B72" t="s">
        <v>7</v>
      </c>
    </row>
    <row r="73" spans="1:2" x14ac:dyDescent="0.2">
      <c r="A73" t="str">
        <f>"ABCD1"</f>
        <v>ABCD1</v>
      </c>
      <c r="B73" t="s">
        <v>2</v>
      </c>
    </row>
    <row r="74" spans="1:2" x14ac:dyDescent="0.2">
      <c r="A74" t="str">
        <f>"ABCD2"</f>
        <v>ABCD2</v>
      </c>
      <c r="B74" t="s">
        <v>3</v>
      </c>
    </row>
    <row r="75" spans="1:2" x14ac:dyDescent="0.2">
      <c r="A75" t="str">
        <f>"ABCD3"</f>
        <v>ABCD3</v>
      </c>
      <c r="B75" t="s">
        <v>6</v>
      </c>
    </row>
    <row r="76" spans="1:2" x14ac:dyDescent="0.2">
      <c r="A76" t="str">
        <f>"ABCD4"</f>
        <v>ABCD4</v>
      </c>
      <c r="B76" t="s">
        <v>3</v>
      </c>
    </row>
    <row r="77" spans="1:2" x14ac:dyDescent="0.2">
      <c r="A77" t="str">
        <f>"ABCE1"</f>
        <v>ABCE1</v>
      </c>
      <c r="B77" t="s">
        <v>7</v>
      </c>
    </row>
    <row r="78" spans="1:2" x14ac:dyDescent="0.2">
      <c r="A78" t="str">
        <f>"ABCF1"</f>
        <v>ABCF1</v>
      </c>
      <c r="B78" t="s">
        <v>6</v>
      </c>
    </row>
    <row r="79" spans="1:2" x14ac:dyDescent="0.2">
      <c r="A79" t="str">
        <f>"ABCF2"</f>
        <v>ABCF2</v>
      </c>
      <c r="B79" t="s">
        <v>6</v>
      </c>
    </row>
    <row r="80" spans="1:2" x14ac:dyDescent="0.2">
      <c r="A80" t="str">
        <f>"ABCF3"</f>
        <v>ABCF3</v>
      </c>
      <c r="B80" t="s">
        <v>8</v>
      </c>
    </row>
    <row r="81" spans="1:2" x14ac:dyDescent="0.2">
      <c r="A81" t="str">
        <f>"ABCG1"</f>
        <v>ABCG1</v>
      </c>
      <c r="B81" t="s">
        <v>7</v>
      </c>
    </row>
    <row r="82" spans="1:2" x14ac:dyDescent="0.2">
      <c r="A82" t="str">
        <f>"ABCG2"</f>
        <v>ABCG2</v>
      </c>
      <c r="B82" t="s">
        <v>3</v>
      </c>
    </row>
    <row r="83" spans="1:2" x14ac:dyDescent="0.2">
      <c r="A83" t="str">
        <f>"ABCG4"</f>
        <v>ABCG4</v>
      </c>
      <c r="B83" t="s">
        <v>5</v>
      </c>
    </row>
    <row r="84" spans="1:2" x14ac:dyDescent="0.2">
      <c r="A84" t="str">
        <f>"ABCG5"</f>
        <v>ABCG5</v>
      </c>
      <c r="B84" t="s">
        <v>5</v>
      </c>
    </row>
    <row r="85" spans="1:2" x14ac:dyDescent="0.2">
      <c r="A85" t="str">
        <f>"ABCG8"</f>
        <v>ABCG8</v>
      </c>
      <c r="B85" t="s">
        <v>5</v>
      </c>
    </row>
    <row r="86" spans="1:2" x14ac:dyDescent="0.2">
      <c r="A86" t="str">
        <f>"ABHD1"</f>
        <v>ABHD1</v>
      </c>
      <c r="B86" t="s">
        <v>2</v>
      </c>
    </row>
    <row r="87" spans="1:2" x14ac:dyDescent="0.2">
      <c r="A87" t="str">
        <f>"ABHD10"</f>
        <v>ABHD10</v>
      </c>
      <c r="B87" t="s">
        <v>6</v>
      </c>
    </row>
    <row r="88" spans="1:2" x14ac:dyDescent="0.2">
      <c r="A88" t="str">
        <f>"ABHD11"</f>
        <v>ABHD11</v>
      </c>
      <c r="B88" t="s">
        <v>6</v>
      </c>
    </row>
    <row r="89" spans="1:2" x14ac:dyDescent="0.2">
      <c r="A89" t="str">
        <f>"ABHD12"</f>
        <v>ABHD12</v>
      </c>
      <c r="B89" t="s">
        <v>5</v>
      </c>
    </row>
    <row r="90" spans="1:2" x14ac:dyDescent="0.2">
      <c r="A90" t="str">
        <f>"ABHD12B"</f>
        <v>ABHD12B</v>
      </c>
      <c r="B90" t="s">
        <v>4</v>
      </c>
    </row>
    <row r="91" spans="1:2" x14ac:dyDescent="0.2">
      <c r="A91" t="str">
        <f>"ABHD13"</f>
        <v>ABHD13</v>
      </c>
      <c r="B91" t="s">
        <v>2</v>
      </c>
    </row>
    <row r="92" spans="1:2" x14ac:dyDescent="0.2">
      <c r="A92" t="str">
        <f>"ABHD14A"</f>
        <v>ABHD14A</v>
      </c>
      <c r="B92" t="s">
        <v>2</v>
      </c>
    </row>
    <row r="93" spans="1:2" x14ac:dyDescent="0.2">
      <c r="A93" t="str">
        <f>"ABHD14B"</f>
        <v>ABHD14B</v>
      </c>
      <c r="B93" t="s">
        <v>2</v>
      </c>
    </row>
    <row r="94" spans="1:2" x14ac:dyDescent="0.2">
      <c r="A94" t="str">
        <f>"ABHD15"</f>
        <v>ABHD15</v>
      </c>
      <c r="B94" t="s">
        <v>4</v>
      </c>
    </row>
    <row r="95" spans="1:2" x14ac:dyDescent="0.2">
      <c r="A95" t="str">
        <f>"ABHD16A"</f>
        <v>ABHD16A</v>
      </c>
      <c r="B95" t="s">
        <v>5</v>
      </c>
    </row>
    <row r="96" spans="1:2" x14ac:dyDescent="0.2">
      <c r="A96" t="str">
        <f>"ABHD16B"</f>
        <v>ABHD16B</v>
      </c>
      <c r="B96" t="s">
        <v>4</v>
      </c>
    </row>
    <row r="97" spans="1:2" x14ac:dyDescent="0.2">
      <c r="A97" t="str">
        <f>"ABHD17A"</f>
        <v>ABHD17A</v>
      </c>
      <c r="B97" t="s">
        <v>3</v>
      </c>
    </row>
    <row r="98" spans="1:2" x14ac:dyDescent="0.2">
      <c r="A98" t="str">
        <f>"ABHD17B"</f>
        <v>ABHD17B</v>
      </c>
      <c r="B98" t="s">
        <v>4</v>
      </c>
    </row>
    <row r="99" spans="1:2" x14ac:dyDescent="0.2">
      <c r="A99" t="str">
        <f>"ABHD17C"</f>
        <v>ABHD17C</v>
      </c>
      <c r="B99" t="s">
        <v>4</v>
      </c>
    </row>
    <row r="100" spans="1:2" x14ac:dyDescent="0.2">
      <c r="A100" t="str">
        <f>"ABHD2"</f>
        <v>ABHD2</v>
      </c>
      <c r="B100" t="s">
        <v>2</v>
      </c>
    </row>
    <row r="101" spans="1:2" x14ac:dyDescent="0.2">
      <c r="A101" t="str">
        <f>"ABHD3"</f>
        <v>ABHD3</v>
      </c>
      <c r="B101" t="s">
        <v>4</v>
      </c>
    </row>
    <row r="102" spans="1:2" x14ac:dyDescent="0.2">
      <c r="A102" t="str">
        <f>"ABHD4"</f>
        <v>ABHD4</v>
      </c>
      <c r="B102" t="s">
        <v>2</v>
      </c>
    </row>
    <row r="103" spans="1:2" x14ac:dyDescent="0.2">
      <c r="A103" t="str">
        <f>"ABHD5"</f>
        <v>ABHD5</v>
      </c>
      <c r="B103" t="s">
        <v>2</v>
      </c>
    </row>
    <row r="104" spans="1:2" x14ac:dyDescent="0.2">
      <c r="A104" t="str">
        <f>"ABHD6"</f>
        <v>ABHD6</v>
      </c>
      <c r="B104" t="s">
        <v>6</v>
      </c>
    </row>
    <row r="105" spans="1:2" x14ac:dyDescent="0.2">
      <c r="A105" t="str">
        <f>"ABHD8"</f>
        <v>ABHD8</v>
      </c>
      <c r="B105" t="s">
        <v>6</v>
      </c>
    </row>
    <row r="106" spans="1:2" x14ac:dyDescent="0.2">
      <c r="A106" t="str">
        <f>"ABI1"</f>
        <v>ABI1</v>
      </c>
      <c r="B106" t="s">
        <v>3</v>
      </c>
    </row>
    <row r="107" spans="1:2" x14ac:dyDescent="0.2">
      <c r="A107" t="str">
        <f>"ABI2"</f>
        <v>ABI2</v>
      </c>
      <c r="B107" t="s">
        <v>8</v>
      </c>
    </row>
    <row r="108" spans="1:2" x14ac:dyDescent="0.2">
      <c r="A108" t="str">
        <f>"ABI3"</f>
        <v>ABI3</v>
      </c>
      <c r="B108" t="s">
        <v>4</v>
      </c>
    </row>
    <row r="109" spans="1:2" x14ac:dyDescent="0.2">
      <c r="A109" t="str">
        <f>"ABI3BP"</f>
        <v>ABI3BP</v>
      </c>
      <c r="B109" t="s">
        <v>4</v>
      </c>
    </row>
    <row r="110" spans="1:2" x14ac:dyDescent="0.2">
      <c r="A110" t="str">
        <f>"ABL1"</f>
        <v>ABL1</v>
      </c>
      <c r="B110" t="s">
        <v>7</v>
      </c>
    </row>
    <row r="111" spans="1:2" x14ac:dyDescent="0.2">
      <c r="A111" t="str">
        <f>"ABL2"</f>
        <v>ABL2</v>
      </c>
      <c r="B111" t="s">
        <v>7</v>
      </c>
    </row>
    <row r="112" spans="1:2" x14ac:dyDescent="0.2">
      <c r="A112" t="str">
        <f>"ABLIM1"</f>
        <v>ABLIM1</v>
      </c>
      <c r="B112" t="s">
        <v>8</v>
      </c>
    </row>
    <row r="113" spans="1:2" x14ac:dyDescent="0.2">
      <c r="A113" t="str">
        <f>"ABLIM2"</f>
        <v>ABLIM2</v>
      </c>
      <c r="B113" t="s">
        <v>3</v>
      </c>
    </row>
    <row r="114" spans="1:2" x14ac:dyDescent="0.2">
      <c r="A114" t="str">
        <f>"ABLIM3"</f>
        <v>ABLIM3</v>
      </c>
      <c r="B114" t="s">
        <v>8</v>
      </c>
    </row>
    <row r="115" spans="1:2" x14ac:dyDescent="0.2">
      <c r="A115" t="str">
        <f>"ABO"</f>
        <v>ABO</v>
      </c>
      <c r="B115" t="s">
        <v>7</v>
      </c>
    </row>
    <row r="116" spans="1:2" x14ac:dyDescent="0.2">
      <c r="A116" t="str">
        <f>"ABR"</f>
        <v>ABR</v>
      </c>
      <c r="B116" t="s">
        <v>6</v>
      </c>
    </row>
    <row r="117" spans="1:2" x14ac:dyDescent="0.2">
      <c r="A117" t="str">
        <f>"ABRA"</f>
        <v>ABRA</v>
      </c>
      <c r="B117" t="s">
        <v>8</v>
      </c>
    </row>
    <row r="118" spans="1:2" x14ac:dyDescent="0.2">
      <c r="A118" t="str">
        <f>"ABRACL"</f>
        <v>ABRACL</v>
      </c>
      <c r="B118" t="s">
        <v>4</v>
      </c>
    </row>
    <row r="119" spans="1:2" x14ac:dyDescent="0.2">
      <c r="A119" t="str">
        <f>"ABT1"</f>
        <v>ABT1</v>
      </c>
      <c r="B119" t="s">
        <v>8</v>
      </c>
    </row>
    <row r="120" spans="1:2" x14ac:dyDescent="0.2">
      <c r="A120" t="str">
        <f>"ABTB1"</f>
        <v>ABTB1</v>
      </c>
      <c r="B120" t="s">
        <v>3</v>
      </c>
    </row>
    <row r="121" spans="1:2" x14ac:dyDescent="0.2">
      <c r="A121" t="str">
        <f>"ABTB2"</f>
        <v>ABTB2</v>
      </c>
      <c r="B121" t="s">
        <v>2</v>
      </c>
    </row>
    <row r="122" spans="1:2" x14ac:dyDescent="0.2">
      <c r="A122" t="str">
        <f>"ACAA1"</f>
        <v>ACAA1</v>
      </c>
      <c r="B122" t="s">
        <v>2</v>
      </c>
    </row>
    <row r="123" spans="1:2" x14ac:dyDescent="0.2">
      <c r="A123" t="str">
        <f>"ACAA2"</f>
        <v>ACAA2</v>
      </c>
      <c r="B123" t="s">
        <v>2</v>
      </c>
    </row>
    <row r="124" spans="1:2" x14ac:dyDescent="0.2">
      <c r="A124" t="str">
        <f>"ACACA"</f>
        <v>ACACA</v>
      </c>
      <c r="B124" t="s">
        <v>7</v>
      </c>
    </row>
    <row r="125" spans="1:2" x14ac:dyDescent="0.2">
      <c r="A125" t="str">
        <f>"ACACB"</f>
        <v>ACACB</v>
      </c>
      <c r="B125" t="s">
        <v>7</v>
      </c>
    </row>
    <row r="126" spans="1:2" x14ac:dyDescent="0.2">
      <c r="A126" t="str">
        <f>"ACAD10"</f>
        <v>ACAD10</v>
      </c>
      <c r="B126" t="s">
        <v>2</v>
      </c>
    </row>
    <row r="127" spans="1:2" x14ac:dyDescent="0.2">
      <c r="A127" t="str">
        <f>"ACAD11"</f>
        <v>ACAD11</v>
      </c>
      <c r="B127" t="s">
        <v>2</v>
      </c>
    </row>
    <row r="128" spans="1:2" x14ac:dyDescent="0.2">
      <c r="A128" t="str">
        <f>"ACAD8"</f>
        <v>ACAD8</v>
      </c>
      <c r="B128" t="s">
        <v>7</v>
      </c>
    </row>
    <row r="129" spans="1:2" x14ac:dyDescent="0.2">
      <c r="A129" t="str">
        <f>"ACAD9"</f>
        <v>ACAD9</v>
      </c>
      <c r="B129" t="s">
        <v>6</v>
      </c>
    </row>
    <row r="130" spans="1:2" x14ac:dyDescent="0.2">
      <c r="A130" t="str">
        <f>"ACADL"</f>
        <v>ACADL</v>
      </c>
      <c r="B130" t="s">
        <v>2</v>
      </c>
    </row>
    <row r="131" spans="1:2" x14ac:dyDescent="0.2">
      <c r="A131" t="str">
        <f>"ACADM"</f>
        <v>ACADM</v>
      </c>
      <c r="B131" t="s">
        <v>3</v>
      </c>
    </row>
    <row r="132" spans="1:2" x14ac:dyDescent="0.2">
      <c r="A132" t="str">
        <f>"ACADS"</f>
        <v>ACADS</v>
      </c>
      <c r="B132" t="s">
        <v>7</v>
      </c>
    </row>
    <row r="133" spans="1:2" x14ac:dyDescent="0.2">
      <c r="A133" t="str">
        <f>"ACADSB"</f>
        <v>ACADSB</v>
      </c>
      <c r="B133" t="s">
        <v>7</v>
      </c>
    </row>
    <row r="134" spans="1:2" x14ac:dyDescent="0.2">
      <c r="A134" t="str">
        <f>"ACADVL"</f>
        <v>ACADVL</v>
      </c>
      <c r="B134" t="s">
        <v>2</v>
      </c>
    </row>
    <row r="135" spans="1:2" x14ac:dyDescent="0.2">
      <c r="A135" t="str">
        <f>"ACAN"</f>
        <v>ACAN</v>
      </c>
      <c r="B135" t="s">
        <v>7</v>
      </c>
    </row>
    <row r="136" spans="1:2" x14ac:dyDescent="0.2">
      <c r="A136" t="str">
        <f>"ACAP1"</f>
        <v>ACAP1</v>
      </c>
      <c r="B136" t="s">
        <v>6</v>
      </c>
    </row>
    <row r="137" spans="1:2" x14ac:dyDescent="0.2">
      <c r="A137" t="str">
        <f>"ACAP2"</f>
        <v>ACAP2</v>
      </c>
      <c r="B137" t="s">
        <v>2</v>
      </c>
    </row>
    <row r="138" spans="1:2" x14ac:dyDescent="0.2">
      <c r="A138" t="str">
        <f>"ACAP3"</f>
        <v>ACAP3</v>
      </c>
      <c r="B138" t="s">
        <v>8</v>
      </c>
    </row>
    <row r="139" spans="1:2" x14ac:dyDescent="0.2">
      <c r="A139" t="str">
        <f>"ACAT1"</f>
        <v>ACAT1</v>
      </c>
      <c r="B139" t="s">
        <v>7</v>
      </c>
    </row>
    <row r="140" spans="1:2" x14ac:dyDescent="0.2">
      <c r="A140" t="str">
        <f>"ACAT2"</f>
        <v>ACAT2</v>
      </c>
      <c r="B140" t="s">
        <v>7</v>
      </c>
    </row>
    <row r="141" spans="1:2" x14ac:dyDescent="0.2">
      <c r="A141" t="str">
        <f>"ACBD3"</f>
        <v>ACBD3</v>
      </c>
      <c r="B141" t="s">
        <v>6</v>
      </c>
    </row>
    <row r="142" spans="1:2" x14ac:dyDescent="0.2">
      <c r="A142" t="str">
        <f>"ACBD4"</f>
        <v>ACBD4</v>
      </c>
      <c r="B142" t="s">
        <v>5</v>
      </c>
    </row>
    <row r="143" spans="1:2" x14ac:dyDescent="0.2">
      <c r="A143" t="str">
        <f>"ACBD5"</f>
        <v>ACBD5</v>
      </c>
      <c r="B143" t="s">
        <v>6</v>
      </c>
    </row>
    <row r="144" spans="1:2" x14ac:dyDescent="0.2">
      <c r="A144" t="str">
        <f>"ACBD6"</f>
        <v>ACBD6</v>
      </c>
      <c r="B144" t="s">
        <v>6</v>
      </c>
    </row>
    <row r="145" spans="1:2" x14ac:dyDescent="0.2">
      <c r="A145" t="str">
        <f>"ACBD7"</f>
        <v>ACBD7</v>
      </c>
      <c r="B145" t="s">
        <v>2</v>
      </c>
    </row>
    <row r="146" spans="1:2" x14ac:dyDescent="0.2">
      <c r="A146" t="str">
        <f>"ACCS"</f>
        <v>ACCS</v>
      </c>
      <c r="B146" t="s">
        <v>7</v>
      </c>
    </row>
    <row r="147" spans="1:2" x14ac:dyDescent="0.2">
      <c r="A147" t="str">
        <f>"ACCSL"</f>
        <v>ACCSL</v>
      </c>
      <c r="B147" t="s">
        <v>4</v>
      </c>
    </row>
    <row r="148" spans="1:2" x14ac:dyDescent="0.2">
      <c r="A148" t="str">
        <f>"ACD"</f>
        <v>ACD</v>
      </c>
      <c r="B148" t="s">
        <v>8</v>
      </c>
    </row>
    <row r="149" spans="1:2" x14ac:dyDescent="0.2">
      <c r="A149" t="str">
        <f>"ACE"</f>
        <v>ACE</v>
      </c>
      <c r="B149" t="s">
        <v>7</v>
      </c>
    </row>
    <row r="150" spans="1:2" x14ac:dyDescent="0.2">
      <c r="A150" t="str">
        <f>"ACE2"</f>
        <v>ACE2</v>
      </c>
      <c r="B150" t="s">
        <v>7</v>
      </c>
    </row>
    <row r="151" spans="1:2" x14ac:dyDescent="0.2">
      <c r="A151" t="str">
        <f>"ACER1"</f>
        <v>ACER1</v>
      </c>
      <c r="B151" t="s">
        <v>2</v>
      </c>
    </row>
    <row r="152" spans="1:2" x14ac:dyDescent="0.2">
      <c r="A152" t="str">
        <f>"ACER2"</f>
        <v>ACER2</v>
      </c>
      <c r="B152" t="s">
        <v>2</v>
      </c>
    </row>
    <row r="153" spans="1:2" x14ac:dyDescent="0.2">
      <c r="A153" t="str">
        <f>"ACER3"</f>
        <v>ACER3</v>
      </c>
      <c r="B153" t="s">
        <v>6</v>
      </c>
    </row>
    <row r="154" spans="1:2" x14ac:dyDescent="0.2">
      <c r="A154" t="str">
        <f>"ACHE"</f>
        <v>ACHE</v>
      </c>
      <c r="B154" t="s">
        <v>7</v>
      </c>
    </row>
    <row r="155" spans="1:2" x14ac:dyDescent="0.2">
      <c r="A155" t="str">
        <f>"ACIN1"</f>
        <v>ACIN1</v>
      </c>
      <c r="B155" t="s">
        <v>2</v>
      </c>
    </row>
    <row r="156" spans="1:2" x14ac:dyDescent="0.2">
      <c r="A156" t="str">
        <f>"ACKR2"</f>
        <v>ACKR2</v>
      </c>
      <c r="B156" t="s">
        <v>5</v>
      </c>
    </row>
    <row r="157" spans="1:2" x14ac:dyDescent="0.2">
      <c r="A157" t="str">
        <f>"ACKR3"</f>
        <v>ACKR3</v>
      </c>
      <c r="B157" t="s">
        <v>3</v>
      </c>
    </row>
    <row r="158" spans="1:2" x14ac:dyDescent="0.2">
      <c r="A158" t="str">
        <f>"ACKR4"</f>
        <v>ACKR4</v>
      </c>
      <c r="B158" t="s">
        <v>5</v>
      </c>
    </row>
    <row r="159" spans="1:2" x14ac:dyDescent="0.2">
      <c r="A159" t="str">
        <f>"ACLY"</f>
        <v>ACLY</v>
      </c>
      <c r="B159" t="s">
        <v>2</v>
      </c>
    </row>
    <row r="160" spans="1:2" x14ac:dyDescent="0.2">
      <c r="A160" t="str">
        <f>"ACMSD"</f>
        <v>ACMSD</v>
      </c>
      <c r="B160" t="s">
        <v>5</v>
      </c>
    </row>
    <row r="161" spans="1:2" x14ac:dyDescent="0.2">
      <c r="A161" t="str">
        <f>"ACN9"</f>
        <v>ACN9</v>
      </c>
      <c r="B161" t="s">
        <v>6</v>
      </c>
    </row>
    <row r="162" spans="1:2" x14ac:dyDescent="0.2">
      <c r="A162" t="str">
        <f>"ACO1"</f>
        <v>ACO1</v>
      </c>
      <c r="B162" t="s">
        <v>2</v>
      </c>
    </row>
    <row r="163" spans="1:2" x14ac:dyDescent="0.2">
      <c r="A163" t="str">
        <f>"ACO2"</f>
        <v>ACO2</v>
      </c>
      <c r="B163" t="s">
        <v>3</v>
      </c>
    </row>
    <row r="164" spans="1:2" x14ac:dyDescent="0.2">
      <c r="A164" t="str">
        <f>"ACOT1"</f>
        <v>ACOT1</v>
      </c>
      <c r="B164" t="s">
        <v>6</v>
      </c>
    </row>
    <row r="165" spans="1:2" x14ac:dyDescent="0.2">
      <c r="A165" t="str">
        <f>"ACOT11"</f>
        <v>ACOT11</v>
      </c>
      <c r="B165" t="s">
        <v>6</v>
      </c>
    </row>
    <row r="166" spans="1:2" x14ac:dyDescent="0.2">
      <c r="A166" t="str">
        <f>"ACOT12"</f>
        <v>ACOT12</v>
      </c>
      <c r="B166" t="s">
        <v>6</v>
      </c>
    </row>
    <row r="167" spans="1:2" x14ac:dyDescent="0.2">
      <c r="A167" t="str">
        <f>"ACOT13"</f>
        <v>ACOT13</v>
      </c>
      <c r="B167" t="s">
        <v>7</v>
      </c>
    </row>
    <row r="168" spans="1:2" x14ac:dyDescent="0.2">
      <c r="A168" t="str">
        <f>"ACOT2"</f>
        <v>ACOT2</v>
      </c>
      <c r="B168" t="s">
        <v>2</v>
      </c>
    </row>
    <row r="169" spans="1:2" x14ac:dyDescent="0.2">
      <c r="A169" t="str">
        <f>"ACOT4"</f>
        <v>ACOT4</v>
      </c>
      <c r="B169" t="s">
        <v>2</v>
      </c>
    </row>
    <row r="170" spans="1:2" x14ac:dyDescent="0.2">
      <c r="A170" t="str">
        <f>"ACOT6"</f>
        <v>ACOT6</v>
      </c>
      <c r="B170" t="s">
        <v>3</v>
      </c>
    </row>
    <row r="171" spans="1:2" x14ac:dyDescent="0.2">
      <c r="A171" t="str">
        <f>"ACOT7"</f>
        <v>ACOT7</v>
      </c>
      <c r="B171" t="s">
        <v>2</v>
      </c>
    </row>
    <row r="172" spans="1:2" x14ac:dyDescent="0.2">
      <c r="A172" t="str">
        <f>"ACOT8"</f>
        <v>ACOT8</v>
      </c>
      <c r="B172" t="s">
        <v>2</v>
      </c>
    </row>
    <row r="173" spans="1:2" x14ac:dyDescent="0.2">
      <c r="A173" t="str">
        <f>"ACOT9"</f>
        <v>ACOT9</v>
      </c>
      <c r="B173" t="s">
        <v>6</v>
      </c>
    </row>
    <row r="174" spans="1:2" x14ac:dyDescent="0.2">
      <c r="A174" t="str">
        <f>"ACOX1"</f>
        <v>ACOX1</v>
      </c>
      <c r="B174" t="s">
        <v>7</v>
      </c>
    </row>
    <row r="175" spans="1:2" x14ac:dyDescent="0.2">
      <c r="A175" t="str">
        <f>"ACOX2"</f>
        <v>ACOX2</v>
      </c>
      <c r="B175" t="s">
        <v>6</v>
      </c>
    </row>
    <row r="176" spans="1:2" x14ac:dyDescent="0.2">
      <c r="A176" t="str">
        <f>"ACOX3"</f>
        <v>ACOX3</v>
      </c>
      <c r="B176" t="s">
        <v>6</v>
      </c>
    </row>
    <row r="177" spans="1:2" x14ac:dyDescent="0.2">
      <c r="A177" t="str">
        <f>"ACOXL"</f>
        <v>ACOXL</v>
      </c>
      <c r="B177" t="s">
        <v>6</v>
      </c>
    </row>
    <row r="178" spans="1:2" x14ac:dyDescent="0.2">
      <c r="A178" t="str">
        <f>"ACP1"</f>
        <v>ACP1</v>
      </c>
      <c r="B178" t="s">
        <v>7</v>
      </c>
    </row>
    <row r="179" spans="1:2" x14ac:dyDescent="0.2">
      <c r="A179" t="str">
        <f>"ACP2"</f>
        <v>ACP2</v>
      </c>
      <c r="B179" t="s">
        <v>7</v>
      </c>
    </row>
    <row r="180" spans="1:2" x14ac:dyDescent="0.2">
      <c r="A180" t="str">
        <f>"ACP5"</f>
        <v>ACP5</v>
      </c>
      <c r="B180" t="s">
        <v>7</v>
      </c>
    </row>
    <row r="181" spans="1:2" x14ac:dyDescent="0.2">
      <c r="A181" t="str">
        <f>"ACP6"</f>
        <v>ACP6</v>
      </c>
      <c r="B181" t="s">
        <v>7</v>
      </c>
    </row>
    <row r="182" spans="1:2" x14ac:dyDescent="0.2">
      <c r="A182" t="str">
        <f>"ACPL2"</f>
        <v>ACPL2</v>
      </c>
      <c r="B182" t="s">
        <v>4</v>
      </c>
    </row>
    <row r="183" spans="1:2" x14ac:dyDescent="0.2">
      <c r="A183" t="str">
        <f>"ACPP"</f>
        <v>ACPP</v>
      </c>
      <c r="B183" t="s">
        <v>7</v>
      </c>
    </row>
    <row r="184" spans="1:2" x14ac:dyDescent="0.2">
      <c r="A184" t="str">
        <f>"ACPT"</f>
        <v>ACPT</v>
      </c>
      <c r="B184" t="s">
        <v>7</v>
      </c>
    </row>
    <row r="185" spans="1:2" x14ac:dyDescent="0.2">
      <c r="A185" t="str">
        <f>"ACR"</f>
        <v>ACR</v>
      </c>
      <c r="B185" t="s">
        <v>2</v>
      </c>
    </row>
    <row r="186" spans="1:2" x14ac:dyDescent="0.2">
      <c r="A186" t="str">
        <f>"ACRBP"</f>
        <v>ACRBP</v>
      </c>
      <c r="B186" t="s">
        <v>8</v>
      </c>
    </row>
    <row r="187" spans="1:2" x14ac:dyDescent="0.2">
      <c r="A187" t="str">
        <f>"ACRC"</f>
        <v>ACRC</v>
      </c>
      <c r="B187" t="s">
        <v>4</v>
      </c>
    </row>
    <row r="188" spans="1:2" x14ac:dyDescent="0.2">
      <c r="A188" t="str">
        <f>"ACRV1"</f>
        <v>ACRV1</v>
      </c>
      <c r="B188" t="s">
        <v>4</v>
      </c>
    </row>
    <row r="189" spans="1:2" x14ac:dyDescent="0.2">
      <c r="A189" t="str">
        <f>"ACSBG1"</f>
        <v>ACSBG1</v>
      </c>
      <c r="B189" t="s">
        <v>3</v>
      </c>
    </row>
    <row r="190" spans="1:2" x14ac:dyDescent="0.2">
      <c r="A190" t="str">
        <f>"ACSBG2"</f>
        <v>ACSBG2</v>
      </c>
      <c r="B190" t="s">
        <v>6</v>
      </c>
    </row>
    <row r="191" spans="1:2" x14ac:dyDescent="0.2">
      <c r="A191" t="str">
        <f>"ACSF2"</f>
        <v>ACSF2</v>
      </c>
      <c r="B191" t="s">
        <v>6</v>
      </c>
    </row>
    <row r="192" spans="1:2" x14ac:dyDescent="0.2">
      <c r="A192" t="str">
        <f>"ACSF3"</f>
        <v>ACSF3</v>
      </c>
      <c r="B192" t="s">
        <v>2</v>
      </c>
    </row>
    <row r="193" spans="1:2" x14ac:dyDescent="0.2">
      <c r="A193" t="str">
        <f>"ACSL1"</f>
        <v>ACSL1</v>
      </c>
      <c r="B193" t="s">
        <v>7</v>
      </c>
    </row>
    <row r="194" spans="1:2" x14ac:dyDescent="0.2">
      <c r="A194" t="str">
        <f>"ACSL3"</f>
        <v>ACSL3</v>
      </c>
      <c r="B194" t="s">
        <v>7</v>
      </c>
    </row>
    <row r="195" spans="1:2" x14ac:dyDescent="0.2">
      <c r="A195" t="str">
        <f>"ACSL4"</f>
        <v>ACSL4</v>
      </c>
      <c r="B195" t="s">
        <v>7</v>
      </c>
    </row>
    <row r="196" spans="1:2" x14ac:dyDescent="0.2">
      <c r="A196" t="str">
        <f>"ACSL5"</f>
        <v>ACSL5</v>
      </c>
      <c r="B196" t="s">
        <v>3</v>
      </c>
    </row>
    <row r="197" spans="1:2" x14ac:dyDescent="0.2">
      <c r="A197" t="str">
        <f>"ACSL6"</f>
        <v>ACSL6</v>
      </c>
      <c r="B197" t="s">
        <v>3</v>
      </c>
    </row>
    <row r="198" spans="1:2" x14ac:dyDescent="0.2">
      <c r="A198" t="str">
        <f>"ACSM1"</f>
        <v>ACSM1</v>
      </c>
      <c r="B198" t="s">
        <v>2</v>
      </c>
    </row>
    <row r="199" spans="1:2" x14ac:dyDescent="0.2">
      <c r="A199" t="str">
        <f>"ACSM2A"</f>
        <v>ACSM2A</v>
      </c>
      <c r="B199" t="s">
        <v>2</v>
      </c>
    </row>
    <row r="200" spans="1:2" x14ac:dyDescent="0.2">
      <c r="A200" t="str">
        <f>"ACSM2B"</f>
        <v>ACSM2B</v>
      </c>
      <c r="B200" t="s">
        <v>2</v>
      </c>
    </row>
    <row r="201" spans="1:2" x14ac:dyDescent="0.2">
      <c r="A201" t="str">
        <f>"ACSM3"</f>
        <v>ACSM3</v>
      </c>
      <c r="B201" t="s">
        <v>6</v>
      </c>
    </row>
    <row r="202" spans="1:2" x14ac:dyDescent="0.2">
      <c r="A202" t="str">
        <f>"ACSM4"</f>
        <v>ACSM4</v>
      </c>
      <c r="B202" t="s">
        <v>2</v>
      </c>
    </row>
    <row r="203" spans="1:2" x14ac:dyDescent="0.2">
      <c r="A203" t="str">
        <f>"ACSM5"</f>
        <v>ACSM5</v>
      </c>
      <c r="B203" t="s">
        <v>6</v>
      </c>
    </row>
    <row r="204" spans="1:2" x14ac:dyDescent="0.2">
      <c r="A204" t="str">
        <f>"ACSS1"</f>
        <v>ACSS1</v>
      </c>
      <c r="B204" t="s">
        <v>3</v>
      </c>
    </row>
    <row r="205" spans="1:2" x14ac:dyDescent="0.2">
      <c r="A205" t="str">
        <f>"ACSS2"</f>
        <v>ACSS2</v>
      </c>
      <c r="B205" t="s">
        <v>7</v>
      </c>
    </row>
    <row r="206" spans="1:2" x14ac:dyDescent="0.2">
      <c r="A206" t="str">
        <f>"ACSS3"</f>
        <v>ACSS3</v>
      </c>
      <c r="B206" t="s">
        <v>6</v>
      </c>
    </row>
    <row r="207" spans="1:2" x14ac:dyDescent="0.2">
      <c r="A207" t="str">
        <f>"ACTA1"</f>
        <v>ACTA1</v>
      </c>
      <c r="B207" t="s">
        <v>7</v>
      </c>
    </row>
    <row r="208" spans="1:2" x14ac:dyDescent="0.2">
      <c r="A208" t="str">
        <f>"ACTA2"</f>
        <v>ACTA2</v>
      </c>
      <c r="B208" t="s">
        <v>3</v>
      </c>
    </row>
    <row r="209" spans="1:2" x14ac:dyDescent="0.2">
      <c r="A209" t="str">
        <f>"ACTB"</f>
        <v>ACTB</v>
      </c>
      <c r="B209" t="s">
        <v>3</v>
      </c>
    </row>
    <row r="210" spans="1:2" x14ac:dyDescent="0.2">
      <c r="A210" t="str">
        <f>"ACTBL2"</f>
        <v>ACTBL2</v>
      </c>
      <c r="B210" t="s">
        <v>6</v>
      </c>
    </row>
    <row r="211" spans="1:2" x14ac:dyDescent="0.2">
      <c r="A211" t="str">
        <f>"ACTC1"</f>
        <v>ACTC1</v>
      </c>
      <c r="B211" t="s">
        <v>6</v>
      </c>
    </row>
    <row r="212" spans="1:2" x14ac:dyDescent="0.2">
      <c r="A212" t="str">
        <f>"ACTG1"</f>
        <v>ACTG1</v>
      </c>
      <c r="B212" t="s">
        <v>3</v>
      </c>
    </row>
    <row r="213" spans="1:2" x14ac:dyDescent="0.2">
      <c r="A213" t="str">
        <f>"ACTG2"</f>
        <v>ACTG2</v>
      </c>
      <c r="B213" t="s">
        <v>6</v>
      </c>
    </row>
    <row r="214" spans="1:2" x14ac:dyDescent="0.2">
      <c r="A214" t="str">
        <f>"ACTL10"</f>
        <v>ACTL10</v>
      </c>
      <c r="B214" t="s">
        <v>4</v>
      </c>
    </row>
    <row r="215" spans="1:2" x14ac:dyDescent="0.2">
      <c r="A215" t="str">
        <f>"ACTL6A"</f>
        <v>ACTL6A</v>
      </c>
      <c r="B215" t="s">
        <v>2</v>
      </c>
    </row>
    <row r="216" spans="1:2" x14ac:dyDescent="0.2">
      <c r="A216" t="str">
        <f>"ACTL6B"</f>
        <v>ACTL6B</v>
      </c>
      <c r="B216" t="s">
        <v>3</v>
      </c>
    </row>
    <row r="217" spans="1:2" x14ac:dyDescent="0.2">
      <c r="A217" t="str">
        <f>"ACTL7A"</f>
        <v>ACTL7A</v>
      </c>
      <c r="B217" t="s">
        <v>6</v>
      </c>
    </row>
    <row r="218" spans="1:2" x14ac:dyDescent="0.2">
      <c r="A218" t="str">
        <f>"ACTL7B"</f>
        <v>ACTL7B</v>
      </c>
      <c r="B218" t="s">
        <v>6</v>
      </c>
    </row>
    <row r="219" spans="1:2" x14ac:dyDescent="0.2">
      <c r="A219" t="str">
        <f>"ACTL8"</f>
        <v>ACTL8</v>
      </c>
      <c r="B219" t="s">
        <v>6</v>
      </c>
    </row>
    <row r="220" spans="1:2" x14ac:dyDescent="0.2">
      <c r="A220" t="str">
        <f>"ACTL9"</f>
        <v>ACTL9</v>
      </c>
      <c r="B220" t="s">
        <v>4</v>
      </c>
    </row>
    <row r="221" spans="1:2" x14ac:dyDescent="0.2">
      <c r="A221" t="str">
        <f>"ACTN1"</f>
        <v>ACTN1</v>
      </c>
      <c r="B221" t="s">
        <v>6</v>
      </c>
    </row>
    <row r="222" spans="1:2" x14ac:dyDescent="0.2">
      <c r="A222" t="str">
        <f>"ACTN2"</f>
        <v>ACTN2</v>
      </c>
      <c r="B222" t="s">
        <v>6</v>
      </c>
    </row>
    <row r="223" spans="1:2" x14ac:dyDescent="0.2">
      <c r="A223" t="str">
        <f>"ACTN3"</f>
        <v>ACTN3</v>
      </c>
      <c r="B223" t="s">
        <v>6</v>
      </c>
    </row>
    <row r="224" spans="1:2" x14ac:dyDescent="0.2">
      <c r="A224" t="str">
        <f>"ACTN4"</f>
        <v>ACTN4</v>
      </c>
      <c r="B224" t="s">
        <v>6</v>
      </c>
    </row>
    <row r="225" spans="1:2" x14ac:dyDescent="0.2">
      <c r="A225" t="str">
        <f>"ACTR10"</f>
        <v>ACTR10</v>
      </c>
      <c r="B225" t="s">
        <v>6</v>
      </c>
    </row>
    <row r="226" spans="1:2" x14ac:dyDescent="0.2">
      <c r="A226" t="str">
        <f>"ACTR1A"</f>
        <v>ACTR1A</v>
      </c>
      <c r="B226" t="s">
        <v>2</v>
      </c>
    </row>
    <row r="227" spans="1:2" x14ac:dyDescent="0.2">
      <c r="A227" t="str">
        <f>"ACTR1B"</f>
        <v>ACTR1B</v>
      </c>
      <c r="B227" t="s">
        <v>6</v>
      </c>
    </row>
    <row r="228" spans="1:2" x14ac:dyDescent="0.2">
      <c r="A228" t="str">
        <f>"ACTR2"</f>
        <v>ACTR2</v>
      </c>
      <c r="B228" t="s">
        <v>7</v>
      </c>
    </row>
    <row r="229" spans="1:2" x14ac:dyDescent="0.2">
      <c r="A229" t="str">
        <f>"ACTR3"</f>
        <v>ACTR3</v>
      </c>
      <c r="B229" t="s">
        <v>3</v>
      </c>
    </row>
    <row r="230" spans="1:2" x14ac:dyDescent="0.2">
      <c r="A230" t="str">
        <f>"ACTR3B"</f>
        <v>ACTR3B</v>
      </c>
      <c r="B230" t="s">
        <v>3</v>
      </c>
    </row>
    <row r="231" spans="1:2" x14ac:dyDescent="0.2">
      <c r="A231" t="str">
        <f>"ACTR3C"</f>
        <v>ACTR3C</v>
      </c>
      <c r="B231" t="s">
        <v>4</v>
      </c>
    </row>
    <row r="232" spans="1:2" x14ac:dyDescent="0.2">
      <c r="A232" t="str">
        <f>"ACTR5"</f>
        <v>ACTR5</v>
      </c>
      <c r="B232" t="s">
        <v>2</v>
      </c>
    </row>
    <row r="233" spans="1:2" x14ac:dyDescent="0.2">
      <c r="A233" t="str">
        <f>"ACTR6"</f>
        <v>ACTR6</v>
      </c>
      <c r="B233" t="s">
        <v>2</v>
      </c>
    </row>
    <row r="234" spans="1:2" x14ac:dyDescent="0.2">
      <c r="A234" t="str">
        <f>"ACTR8"</f>
        <v>ACTR8</v>
      </c>
      <c r="B234" t="s">
        <v>3</v>
      </c>
    </row>
    <row r="235" spans="1:2" x14ac:dyDescent="0.2">
      <c r="A235" t="str">
        <f>"ACTRT1"</f>
        <v>ACTRT1</v>
      </c>
      <c r="B235" t="s">
        <v>6</v>
      </c>
    </row>
    <row r="236" spans="1:2" x14ac:dyDescent="0.2">
      <c r="A236" t="str">
        <f>"ACTRT2"</f>
        <v>ACTRT2</v>
      </c>
      <c r="B236" t="s">
        <v>6</v>
      </c>
    </row>
    <row r="237" spans="1:2" x14ac:dyDescent="0.2">
      <c r="A237" t="str">
        <f>"ACTRT3"</f>
        <v>ACTRT3</v>
      </c>
      <c r="B237" t="s">
        <v>6</v>
      </c>
    </row>
    <row r="238" spans="1:2" x14ac:dyDescent="0.2">
      <c r="A238" t="str">
        <f>"ACVR1"</f>
        <v>ACVR1</v>
      </c>
      <c r="B238" t="s">
        <v>7</v>
      </c>
    </row>
    <row r="239" spans="1:2" x14ac:dyDescent="0.2">
      <c r="A239" t="str">
        <f>"ACVR1B"</f>
        <v>ACVR1B</v>
      </c>
      <c r="B239" t="s">
        <v>7</v>
      </c>
    </row>
    <row r="240" spans="1:2" x14ac:dyDescent="0.2">
      <c r="A240" t="str">
        <f>"ACVR1C"</f>
        <v>ACVR1C</v>
      </c>
      <c r="B240" t="s">
        <v>7</v>
      </c>
    </row>
    <row r="241" spans="1:2" x14ac:dyDescent="0.2">
      <c r="A241" t="str">
        <f>"ACVR2A"</f>
        <v>ACVR2A</v>
      </c>
      <c r="B241" t="s">
        <v>7</v>
      </c>
    </row>
    <row r="242" spans="1:2" x14ac:dyDescent="0.2">
      <c r="A242" t="str">
        <f>"ACVR2B"</f>
        <v>ACVR2B</v>
      </c>
      <c r="B242" t="s">
        <v>7</v>
      </c>
    </row>
    <row r="243" spans="1:2" x14ac:dyDescent="0.2">
      <c r="A243" t="str">
        <f>"ACVRL1"</f>
        <v>ACVRL1</v>
      </c>
      <c r="B243" t="s">
        <v>7</v>
      </c>
    </row>
    <row r="244" spans="1:2" x14ac:dyDescent="0.2">
      <c r="A244" t="str">
        <f>"ACY1"</f>
        <v>ACY1</v>
      </c>
      <c r="B244" t="s">
        <v>7</v>
      </c>
    </row>
    <row r="245" spans="1:2" x14ac:dyDescent="0.2">
      <c r="A245" t="str">
        <f>"ACY3"</f>
        <v>ACY3</v>
      </c>
      <c r="B245" t="s">
        <v>7</v>
      </c>
    </row>
    <row r="246" spans="1:2" x14ac:dyDescent="0.2">
      <c r="A246" t="str">
        <f>"ACYP1"</f>
        <v>ACYP1</v>
      </c>
      <c r="B246" t="s">
        <v>3</v>
      </c>
    </row>
    <row r="247" spans="1:2" x14ac:dyDescent="0.2">
      <c r="A247" t="str">
        <f>"ACYP2"</f>
        <v>ACYP2</v>
      </c>
      <c r="B247" t="s">
        <v>7</v>
      </c>
    </row>
    <row r="248" spans="1:2" x14ac:dyDescent="0.2">
      <c r="A248" t="str">
        <f>"ADA"</f>
        <v>ADA</v>
      </c>
      <c r="B248" t="s">
        <v>3</v>
      </c>
    </row>
    <row r="249" spans="1:2" x14ac:dyDescent="0.2">
      <c r="A249" t="str">
        <f>"ADAD1"</f>
        <v>ADAD1</v>
      </c>
      <c r="B249" t="s">
        <v>2</v>
      </c>
    </row>
    <row r="250" spans="1:2" x14ac:dyDescent="0.2">
      <c r="A250" t="str">
        <f>"ADAD2"</f>
        <v>ADAD2</v>
      </c>
      <c r="B250" t="s">
        <v>8</v>
      </c>
    </row>
    <row r="251" spans="1:2" x14ac:dyDescent="0.2">
      <c r="A251" t="str">
        <f>"ADAL"</f>
        <v>ADAL</v>
      </c>
      <c r="B251" t="s">
        <v>4</v>
      </c>
    </row>
    <row r="252" spans="1:2" x14ac:dyDescent="0.2">
      <c r="A252" t="str">
        <f>"ADAM10"</f>
        <v>ADAM10</v>
      </c>
      <c r="B252" t="s">
        <v>2</v>
      </c>
    </row>
    <row r="253" spans="1:2" x14ac:dyDescent="0.2">
      <c r="A253" t="str">
        <f>"ADAM11"</f>
        <v>ADAM11</v>
      </c>
      <c r="B253" t="s">
        <v>2</v>
      </c>
    </row>
    <row r="254" spans="1:2" x14ac:dyDescent="0.2">
      <c r="A254" t="str">
        <f>"ADAM12"</f>
        <v>ADAM12</v>
      </c>
      <c r="B254" t="s">
        <v>3</v>
      </c>
    </row>
    <row r="255" spans="1:2" x14ac:dyDescent="0.2">
      <c r="A255" t="str">
        <f>"ADAM15"</f>
        <v>ADAM15</v>
      </c>
      <c r="B255" t="s">
        <v>3</v>
      </c>
    </row>
    <row r="256" spans="1:2" x14ac:dyDescent="0.2">
      <c r="A256" t="str">
        <f>"ADAM17"</f>
        <v>ADAM17</v>
      </c>
      <c r="B256" t="s">
        <v>3</v>
      </c>
    </row>
    <row r="257" spans="1:2" x14ac:dyDescent="0.2">
      <c r="A257" t="str">
        <f>"ADAM18"</f>
        <v>ADAM18</v>
      </c>
      <c r="B257" t="s">
        <v>2</v>
      </c>
    </row>
    <row r="258" spans="1:2" x14ac:dyDescent="0.2">
      <c r="A258" t="str">
        <f>"ADAM19"</f>
        <v>ADAM19</v>
      </c>
      <c r="B258" t="s">
        <v>3</v>
      </c>
    </row>
    <row r="259" spans="1:2" x14ac:dyDescent="0.2">
      <c r="A259" t="str">
        <f>"ADAM2"</f>
        <v>ADAM2</v>
      </c>
      <c r="B259" t="s">
        <v>2</v>
      </c>
    </row>
    <row r="260" spans="1:2" x14ac:dyDescent="0.2">
      <c r="A260" t="str">
        <f>"ADAM20"</f>
        <v>ADAM20</v>
      </c>
      <c r="B260" t="s">
        <v>2</v>
      </c>
    </row>
    <row r="261" spans="1:2" x14ac:dyDescent="0.2">
      <c r="A261" t="str">
        <f>"ADAM21"</f>
        <v>ADAM21</v>
      </c>
      <c r="B261" t="s">
        <v>2</v>
      </c>
    </row>
    <row r="262" spans="1:2" x14ac:dyDescent="0.2">
      <c r="A262" t="str">
        <f>"ADAM22"</f>
        <v>ADAM22</v>
      </c>
      <c r="B262" t="s">
        <v>3</v>
      </c>
    </row>
    <row r="263" spans="1:2" x14ac:dyDescent="0.2">
      <c r="A263" t="str">
        <f>"ADAM23"</f>
        <v>ADAM23</v>
      </c>
      <c r="B263" t="s">
        <v>2</v>
      </c>
    </row>
    <row r="264" spans="1:2" x14ac:dyDescent="0.2">
      <c r="A264" t="str">
        <f>"ADAM28"</f>
        <v>ADAM28</v>
      </c>
      <c r="B264" t="s">
        <v>3</v>
      </c>
    </row>
    <row r="265" spans="1:2" x14ac:dyDescent="0.2">
      <c r="A265" t="str">
        <f>"ADAM29"</f>
        <v>ADAM29</v>
      </c>
      <c r="B265" t="s">
        <v>2</v>
      </c>
    </row>
    <row r="266" spans="1:2" x14ac:dyDescent="0.2">
      <c r="A266" t="str">
        <f>"ADAM30"</f>
        <v>ADAM30</v>
      </c>
      <c r="B266" t="s">
        <v>2</v>
      </c>
    </row>
    <row r="267" spans="1:2" x14ac:dyDescent="0.2">
      <c r="A267" t="str">
        <f>"ADAM32"</f>
        <v>ADAM32</v>
      </c>
      <c r="B267" t="s">
        <v>2</v>
      </c>
    </row>
    <row r="268" spans="1:2" x14ac:dyDescent="0.2">
      <c r="A268" t="str">
        <f>"ADAM33"</f>
        <v>ADAM33</v>
      </c>
      <c r="B268" t="s">
        <v>7</v>
      </c>
    </row>
    <row r="269" spans="1:2" x14ac:dyDescent="0.2">
      <c r="A269" t="str">
        <f>"ADAM7"</f>
        <v>ADAM7</v>
      </c>
      <c r="B269" t="s">
        <v>2</v>
      </c>
    </row>
    <row r="270" spans="1:2" x14ac:dyDescent="0.2">
      <c r="A270" t="str">
        <f>"ADAM8"</f>
        <v>ADAM8</v>
      </c>
      <c r="B270" t="s">
        <v>2</v>
      </c>
    </row>
    <row r="271" spans="1:2" x14ac:dyDescent="0.2">
      <c r="A271" t="str">
        <f>"ADAM9"</f>
        <v>ADAM9</v>
      </c>
      <c r="B271" t="s">
        <v>2</v>
      </c>
    </row>
    <row r="272" spans="1:2" x14ac:dyDescent="0.2">
      <c r="A272" t="str">
        <f>"ADAMDEC1"</f>
        <v>ADAMDEC1</v>
      </c>
      <c r="B272" t="s">
        <v>2</v>
      </c>
    </row>
    <row r="273" spans="1:2" x14ac:dyDescent="0.2">
      <c r="A273" t="str">
        <f>"ADAMTS1"</f>
        <v>ADAMTS1</v>
      </c>
      <c r="B273" t="s">
        <v>2</v>
      </c>
    </row>
    <row r="274" spans="1:2" x14ac:dyDescent="0.2">
      <c r="A274" t="str">
        <f>"ADAMTS10"</f>
        <v>ADAMTS10</v>
      </c>
      <c r="B274" t="s">
        <v>2</v>
      </c>
    </row>
    <row r="275" spans="1:2" x14ac:dyDescent="0.2">
      <c r="A275" t="str">
        <f>"ADAMTS12"</f>
        <v>ADAMTS12</v>
      </c>
      <c r="B275" t="s">
        <v>3</v>
      </c>
    </row>
    <row r="276" spans="1:2" x14ac:dyDescent="0.2">
      <c r="A276" t="str">
        <f>"ADAMTS13"</f>
        <v>ADAMTS13</v>
      </c>
      <c r="B276" t="s">
        <v>2</v>
      </c>
    </row>
    <row r="277" spans="1:2" x14ac:dyDescent="0.2">
      <c r="A277" t="str">
        <f>"ADAMTS14"</f>
        <v>ADAMTS14</v>
      </c>
      <c r="B277" t="s">
        <v>2</v>
      </c>
    </row>
    <row r="278" spans="1:2" x14ac:dyDescent="0.2">
      <c r="A278" t="str">
        <f>"ADAMTS15"</f>
        <v>ADAMTS15</v>
      </c>
      <c r="B278" t="s">
        <v>2</v>
      </c>
    </row>
    <row r="279" spans="1:2" x14ac:dyDescent="0.2">
      <c r="A279" t="str">
        <f>"ADAMTS16"</f>
        <v>ADAMTS16</v>
      </c>
      <c r="B279" t="s">
        <v>2</v>
      </c>
    </row>
    <row r="280" spans="1:2" x14ac:dyDescent="0.2">
      <c r="A280" t="str">
        <f>"ADAMTS17"</f>
        <v>ADAMTS17</v>
      </c>
      <c r="B280" t="s">
        <v>2</v>
      </c>
    </row>
    <row r="281" spans="1:2" x14ac:dyDescent="0.2">
      <c r="A281" t="str">
        <f>"ADAMTS18"</f>
        <v>ADAMTS18</v>
      </c>
      <c r="B281" t="s">
        <v>2</v>
      </c>
    </row>
    <row r="282" spans="1:2" x14ac:dyDescent="0.2">
      <c r="A282" t="str">
        <f>"ADAMTS19"</f>
        <v>ADAMTS19</v>
      </c>
      <c r="B282" t="s">
        <v>2</v>
      </c>
    </row>
    <row r="283" spans="1:2" x14ac:dyDescent="0.2">
      <c r="A283" t="str">
        <f>"ADAMTS2"</f>
        <v>ADAMTS2</v>
      </c>
      <c r="B283" t="s">
        <v>2</v>
      </c>
    </row>
    <row r="284" spans="1:2" x14ac:dyDescent="0.2">
      <c r="A284" t="str">
        <f>"ADAMTS20"</f>
        <v>ADAMTS20</v>
      </c>
      <c r="B284" t="s">
        <v>3</v>
      </c>
    </row>
    <row r="285" spans="1:2" x14ac:dyDescent="0.2">
      <c r="A285" t="str">
        <f>"ADAMTS3"</f>
        <v>ADAMTS3</v>
      </c>
      <c r="B285" t="s">
        <v>2</v>
      </c>
    </row>
    <row r="286" spans="1:2" x14ac:dyDescent="0.2">
      <c r="A286" t="str">
        <f>"ADAMTS4"</f>
        <v>ADAMTS4</v>
      </c>
      <c r="B286" t="s">
        <v>2</v>
      </c>
    </row>
    <row r="287" spans="1:2" x14ac:dyDescent="0.2">
      <c r="A287" t="str">
        <f>"ADAMTS5"</f>
        <v>ADAMTS5</v>
      </c>
      <c r="B287" t="s">
        <v>7</v>
      </c>
    </row>
    <row r="288" spans="1:2" x14ac:dyDescent="0.2">
      <c r="A288" t="str">
        <f>"ADAMTS6"</f>
        <v>ADAMTS6</v>
      </c>
      <c r="B288" t="s">
        <v>2</v>
      </c>
    </row>
    <row r="289" spans="1:2" x14ac:dyDescent="0.2">
      <c r="A289" t="str">
        <f>"ADAMTS7"</f>
        <v>ADAMTS7</v>
      </c>
      <c r="B289" t="s">
        <v>2</v>
      </c>
    </row>
    <row r="290" spans="1:2" x14ac:dyDescent="0.2">
      <c r="A290" t="str">
        <f>"ADAMTS8"</f>
        <v>ADAMTS8</v>
      </c>
      <c r="B290" t="s">
        <v>2</v>
      </c>
    </row>
    <row r="291" spans="1:2" x14ac:dyDescent="0.2">
      <c r="A291" t="str">
        <f>"ADAMTS9"</f>
        <v>ADAMTS9</v>
      </c>
      <c r="B291" t="s">
        <v>2</v>
      </c>
    </row>
    <row r="292" spans="1:2" x14ac:dyDescent="0.2">
      <c r="A292" t="str">
        <f>"ADAMTSL1"</f>
        <v>ADAMTSL1</v>
      </c>
      <c r="B292" t="s">
        <v>3</v>
      </c>
    </row>
    <row r="293" spans="1:2" x14ac:dyDescent="0.2">
      <c r="A293" t="str">
        <f>"ADAMTSL2"</f>
        <v>ADAMTSL2</v>
      </c>
      <c r="B293" t="s">
        <v>4</v>
      </c>
    </row>
    <row r="294" spans="1:2" x14ac:dyDescent="0.2">
      <c r="A294" t="str">
        <f>"ADAMTSL3"</f>
        <v>ADAMTSL3</v>
      </c>
      <c r="B294" t="s">
        <v>3</v>
      </c>
    </row>
    <row r="295" spans="1:2" x14ac:dyDescent="0.2">
      <c r="A295" t="str">
        <f>"ADAMTSL4"</f>
        <v>ADAMTSL4</v>
      </c>
      <c r="B295" t="s">
        <v>4</v>
      </c>
    </row>
    <row r="296" spans="1:2" x14ac:dyDescent="0.2">
      <c r="A296" t="str">
        <f>"ADAMTSL5"</f>
        <v>ADAMTSL5</v>
      </c>
      <c r="B296" t="s">
        <v>3</v>
      </c>
    </row>
    <row r="297" spans="1:2" x14ac:dyDescent="0.2">
      <c r="A297" t="str">
        <f>"ADAP1"</f>
        <v>ADAP1</v>
      </c>
      <c r="B297" t="s">
        <v>8</v>
      </c>
    </row>
    <row r="298" spans="1:2" x14ac:dyDescent="0.2">
      <c r="A298" t="str">
        <f>"ADAP2"</f>
        <v>ADAP2</v>
      </c>
      <c r="B298" t="s">
        <v>6</v>
      </c>
    </row>
    <row r="299" spans="1:2" x14ac:dyDescent="0.2">
      <c r="A299" t="str">
        <f>"ADAR"</f>
        <v>ADAR</v>
      </c>
      <c r="B299" t="s">
        <v>3</v>
      </c>
    </row>
    <row r="300" spans="1:2" x14ac:dyDescent="0.2">
      <c r="A300" t="str">
        <f>"ADARB1"</f>
        <v>ADARB1</v>
      </c>
      <c r="B300" t="s">
        <v>8</v>
      </c>
    </row>
    <row r="301" spans="1:2" x14ac:dyDescent="0.2">
      <c r="A301" t="str">
        <f>"ADARB2"</f>
        <v>ADARB2</v>
      </c>
      <c r="B301" t="s">
        <v>6</v>
      </c>
    </row>
    <row r="302" spans="1:2" x14ac:dyDescent="0.2">
      <c r="A302" t="str">
        <f>"ADAT1"</f>
        <v>ADAT1</v>
      </c>
      <c r="B302" t="s">
        <v>8</v>
      </c>
    </row>
    <row r="303" spans="1:2" x14ac:dyDescent="0.2">
      <c r="A303" t="str">
        <f>"ADAT2"</f>
        <v>ADAT2</v>
      </c>
      <c r="B303" t="s">
        <v>4</v>
      </c>
    </row>
    <row r="304" spans="1:2" x14ac:dyDescent="0.2">
      <c r="A304" t="str">
        <f>"ADAT3"</f>
        <v>ADAT3</v>
      </c>
      <c r="B304" t="s">
        <v>4</v>
      </c>
    </row>
    <row r="305" spans="1:2" x14ac:dyDescent="0.2">
      <c r="A305" t="str">
        <f>"ADC"</f>
        <v>ADC</v>
      </c>
      <c r="B305" t="s">
        <v>7</v>
      </c>
    </row>
    <row r="306" spans="1:2" x14ac:dyDescent="0.2">
      <c r="A306" t="str">
        <f>"ADCK1"</f>
        <v>ADCK1</v>
      </c>
      <c r="B306" t="s">
        <v>7</v>
      </c>
    </row>
    <row r="307" spans="1:2" x14ac:dyDescent="0.2">
      <c r="A307" t="str">
        <f>"ADCK2"</f>
        <v>ADCK2</v>
      </c>
      <c r="B307" t="s">
        <v>7</v>
      </c>
    </row>
    <row r="308" spans="1:2" x14ac:dyDescent="0.2">
      <c r="A308" t="str">
        <f>"ADCK3"</f>
        <v>ADCK3</v>
      </c>
      <c r="B308" t="s">
        <v>7</v>
      </c>
    </row>
    <row r="309" spans="1:2" x14ac:dyDescent="0.2">
      <c r="A309" t="str">
        <f>"ADCK4"</f>
        <v>ADCK4</v>
      </c>
      <c r="B309" t="s">
        <v>7</v>
      </c>
    </row>
    <row r="310" spans="1:2" x14ac:dyDescent="0.2">
      <c r="A310" t="str">
        <f>"ADCK5"</f>
        <v>ADCK5</v>
      </c>
      <c r="B310" t="s">
        <v>7</v>
      </c>
    </row>
    <row r="311" spans="1:2" x14ac:dyDescent="0.2">
      <c r="A311" t="str">
        <f>"ADCY1"</f>
        <v>ADCY1</v>
      </c>
      <c r="B311" t="s">
        <v>3</v>
      </c>
    </row>
    <row r="312" spans="1:2" x14ac:dyDescent="0.2">
      <c r="A312" t="str">
        <f>"ADCY10"</f>
        <v>ADCY10</v>
      </c>
      <c r="B312" t="s">
        <v>3</v>
      </c>
    </row>
    <row r="313" spans="1:2" x14ac:dyDescent="0.2">
      <c r="A313" t="str">
        <f>"ADCY2"</f>
        <v>ADCY2</v>
      </c>
      <c r="B313" t="s">
        <v>3</v>
      </c>
    </row>
    <row r="314" spans="1:2" x14ac:dyDescent="0.2">
      <c r="A314" t="str">
        <f>"ADCY3"</f>
        <v>ADCY3</v>
      </c>
      <c r="B314" t="s">
        <v>3</v>
      </c>
    </row>
    <row r="315" spans="1:2" x14ac:dyDescent="0.2">
      <c r="A315" t="str">
        <f>"ADCY4"</f>
        <v>ADCY4</v>
      </c>
      <c r="B315" t="s">
        <v>3</v>
      </c>
    </row>
    <row r="316" spans="1:2" x14ac:dyDescent="0.2">
      <c r="A316" t="str">
        <f>"ADCY5"</f>
        <v>ADCY5</v>
      </c>
      <c r="B316" t="s">
        <v>3</v>
      </c>
    </row>
    <row r="317" spans="1:2" x14ac:dyDescent="0.2">
      <c r="A317" t="str">
        <f>"ADCY6"</f>
        <v>ADCY6</v>
      </c>
      <c r="B317" t="s">
        <v>3</v>
      </c>
    </row>
    <row r="318" spans="1:2" x14ac:dyDescent="0.2">
      <c r="A318" t="str">
        <f>"ADCY7"</f>
        <v>ADCY7</v>
      </c>
      <c r="B318" t="s">
        <v>3</v>
      </c>
    </row>
    <row r="319" spans="1:2" x14ac:dyDescent="0.2">
      <c r="A319" t="str">
        <f>"ADCY8"</f>
        <v>ADCY8</v>
      </c>
      <c r="B319" t="s">
        <v>3</v>
      </c>
    </row>
    <row r="320" spans="1:2" x14ac:dyDescent="0.2">
      <c r="A320" t="str">
        <f>"ADCY9"</f>
        <v>ADCY9</v>
      </c>
      <c r="B320" t="s">
        <v>3</v>
      </c>
    </row>
    <row r="321" spans="1:2" x14ac:dyDescent="0.2">
      <c r="A321" t="str">
        <f>"ADCYAP1"</f>
        <v>ADCYAP1</v>
      </c>
      <c r="B321" t="s">
        <v>3</v>
      </c>
    </row>
    <row r="322" spans="1:2" x14ac:dyDescent="0.2">
      <c r="A322" t="str">
        <f>"ADCYAP1R1"</f>
        <v>ADCYAP1R1</v>
      </c>
      <c r="B322" t="s">
        <v>5</v>
      </c>
    </row>
    <row r="323" spans="1:2" x14ac:dyDescent="0.2">
      <c r="A323" t="str">
        <f>"ADD1"</f>
        <v>ADD1</v>
      </c>
      <c r="B323" t="s">
        <v>3</v>
      </c>
    </row>
    <row r="324" spans="1:2" x14ac:dyDescent="0.2">
      <c r="A324" t="str">
        <f>"ADD2"</f>
        <v>ADD2</v>
      </c>
      <c r="B324" t="s">
        <v>6</v>
      </c>
    </row>
    <row r="325" spans="1:2" x14ac:dyDescent="0.2">
      <c r="A325" t="str">
        <f>"ADD3"</f>
        <v>ADD3</v>
      </c>
      <c r="B325" t="s">
        <v>6</v>
      </c>
    </row>
    <row r="326" spans="1:2" x14ac:dyDescent="0.2">
      <c r="A326" t="str">
        <f>"ADGB"</f>
        <v>ADGB</v>
      </c>
      <c r="B326" t="s">
        <v>4</v>
      </c>
    </row>
    <row r="327" spans="1:2" x14ac:dyDescent="0.2">
      <c r="A327" t="str">
        <f>"ADH1A"</f>
        <v>ADH1A</v>
      </c>
      <c r="B327" t="s">
        <v>3</v>
      </c>
    </row>
    <row r="328" spans="1:2" x14ac:dyDescent="0.2">
      <c r="A328" t="str">
        <f>"ADH1B"</f>
        <v>ADH1B</v>
      </c>
      <c r="B328" t="s">
        <v>7</v>
      </c>
    </row>
    <row r="329" spans="1:2" x14ac:dyDescent="0.2">
      <c r="A329" t="str">
        <f>"ADH1C"</f>
        <v>ADH1C</v>
      </c>
      <c r="B329" t="s">
        <v>7</v>
      </c>
    </row>
    <row r="330" spans="1:2" x14ac:dyDescent="0.2">
      <c r="A330" t="str">
        <f>"ADH4"</f>
        <v>ADH4</v>
      </c>
      <c r="B330" t="s">
        <v>7</v>
      </c>
    </row>
    <row r="331" spans="1:2" x14ac:dyDescent="0.2">
      <c r="A331" t="str">
        <f>"ADH5"</f>
        <v>ADH5</v>
      </c>
      <c r="B331" t="s">
        <v>7</v>
      </c>
    </row>
    <row r="332" spans="1:2" x14ac:dyDescent="0.2">
      <c r="A332" t="str">
        <f>"ADH6"</f>
        <v>ADH6</v>
      </c>
      <c r="B332" t="s">
        <v>3</v>
      </c>
    </row>
    <row r="333" spans="1:2" x14ac:dyDescent="0.2">
      <c r="A333" t="str">
        <f>"ADH7"</f>
        <v>ADH7</v>
      </c>
      <c r="B333" t="s">
        <v>3</v>
      </c>
    </row>
    <row r="334" spans="1:2" x14ac:dyDescent="0.2">
      <c r="A334" t="str">
        <f>"ADHFE1"</f>
        <v>ADHFE1</v>
      </c>
      <c r="B334" t="s">
        <v>3</v>
      </c>
    </row>
    <row r="335" spans="1:2" x14ac:dyDescent="0.2">
      <c r="A335" t="str">
        <f>"ADI1"</f>
        <v>ADI1</v>
      </c>
      <c r="B335" t="s">
        <v>4</v>
      </c>
    </row>
    <row r="336" spans="1:2" x14ac:dyDescent="0.2">
      <c r="A336" t="str">
        <f>"ADIG"</f>
        <v>ADIG</v>
      </c>
      <c r="B336" t="s">
        <v>5</v>
      </c>
    </row>
    <row r="337" spans="1:2" x14ac:dyDescent="0.2">
      <c r="A337" t="str">
        <f>"ADIPOQ"</f>
        <v>ADIPOQ</v>
      </c>
      <c r="B337" t="s">
        <v>6</v>
      </c>
    </row>
    <row r="338" spans="1:2" x14ac:dyDescent="0.2">
      <c r="A338" t="str">
        <f>"ADIPOR1"</f>
        <v>ADIPOR1</v>
      </c>
      <c r="B338" t="s">
        <v>6</v>
      </c>
    </row>
    <row r="339" spans="1:2" x14ac:dyDescent="0.2">
      <c r="A339" t="str">
        <f>"ADIPOR2"</f>
        <v>ADIPOR2</v>
      </c>
      <c r="B339" t="s">
        <v>6</v>
      </c>
    </row>
    <row r="340" spans="1:2" x14ac:dyDescent="0.2">
      <c r="A340" t="str">
        <f>"ADIRF"</f>
        <v>ADIRF</v>
      </c>
      <c r="B340" t="s">
        <v>3</v>
      </c>
    </row>
    <row r="341" spans="1:2" x14ac:dyDescent="0.2">
      <c r="A341" t="str">
        <f>"ADK"</f>
        <v>ADK</v>
      </c>
      <c r="B341" t="s">
        <v>7</v>
      </c>
    </row>
    <row r="342" spans="1:2" x14ac:dyDescent="0.2">
      <c r="A342" t="str">
        <f>"ADM"</f>
        <v>ADM</v>
      </c>
      <c r="B342" t="s">
        <v>3</v>
      </c>
    </row>
    <row r="343" spans="1:2" x14ac:dyDescent="0.2">
      <c r="A343" t="str">
        <f>"ADM2"</f>
        <v>ADM2</v>
      </c>
      <c r="B343" t="s">
        <v>3</v>
      </c>
    </row>
    <row r="344" spans="1:2" x14ac:dyDescent="0.2">
      <c r="A344" t="str">
        <f>"ADM5"</f>
        <v>ADM5</v>
      </c>
      <c r="B344" t="s">
        <v>4</v>
      </c>
    </row>
    <row r="345" spans="1:2" x14ac:dyDescent="0.2">
      <c r="A345" t="str">
        <f>"ADNP"</f>
        <v>ADNP</v>
      </c>
      <c r="B345" t="s">
        <v>8</v>
      </c>
    </row>
    <row r="346" spans="1:2" x14ac:dyDescent="0.2">
      <c r="A346" t="str">
        <f>"ADNP2"</f>
        <v>ADNP2</v>
      </c>
      <c r="B346" t="s">
        <v>8</v>
      </c>
    </row>
    <row r="347" spans="1:2" x14ac:dyDescent="0.2">
      <c r="A347" t="str">
        <f>"ADO"</f>
        <v>ADO</v>
      </c>
      <c r="B347" t="s">
        <v>6</v>
      </c>
    </row>
    <row r="348" spans="1:2" x14ac:dyDescent="0.2">
      <c r="A348" t="str">
        <f>"ADORA1"</f>
        <v>ADORA1</v>
      </c>
      <c r="B348" t="s">
        <v>7</v>
      </c>
    </row>
    <row r="349" spans="1:2" x14ac:dyDescent="0.2">
      <c r="A349" t="str">
        <f>"ADORA2A"</f>
        <v>ADORA2A</v>
      </c>
      <c r="B349" t="s">
        <v>7</v>
      </c>
    </row>
    <row r="350" spans="1:2" x14ac:dyDescent="0.2">
      <c r="A350" t="str">
        <f>"ADORA2B"</f>
        <v>ADORA2B</v>
      </c>
      <c r="B350" t="s">
        <v>7</v>
      </c>
    </row>
    <row r="351" spans="1:2" x14ac:dyDescent="0.2">
      <c r="A351" t="str">
        <f>"ADORA3"</f>
        <v>ADORA3</v>
      </c>
      <c r="B351" t="s">
        <v>7</v>
      </c>
    </row>
    <row r="352" spans="1:2" x14ac:dyDescent="0.2">
      <c r="A352" t="str">
        <f>"ADPGK"</f>
        <v>ADPGK</v>
      </c>
      <c r="B352" t="s">
        <v>4</v>
      </c>
    </row>
    <row r="353" spans="1:2" x14ac:dyDescent="0.2">
      <c r="A353" t="str">
        <f>"ADPRH"</f>
        <v>ADPRH</v>
      </c>
      <c r="B353" t="s">
        <v>4</v>
      </c>
    </row>
    <row r="354" spans="1:2" x14ac:dyDescent="0.2">
      <c r="A354" t="str">
        <f>"ADPRHL1"</f>
        <v>ADPRHL1</v>
      </c>
      <c r="B354" t="s">
        <v>3</v>
      </c>
    </row>
    <row r="355" spans="1:2" x14ac:dyDescent="0.2">
      <c r="A355" t="str">
        <f>"ADPRHL2"</f>
        <v>ADPRHL2</v>
      </c>
      <c r="B355" t="s">
        <v>4</v>
      </c>
    </row>
    <row r="356" spans="1:2" x14ac:dyDescent="0.2">
      <c r="A356" t="str">
        <f>"ADPRM"</f>
        <v>ADPRM</v>
      </c>
      <c r="B356" t="s">
        <v>4</v>
      </c>
    </row>
    <row r="357" spans="1:2" x14ac:dyDescent="0.2">
      <c r="A357" t="str">
        <f>"ADRA1A"</f>
        <v>ADRA1A</v>
      </c>
      <c r="B357" t="s">
        <v>7</v>
      </c>
    </row>
    <row r="358" spans="1:2" x14ac:dyDescent="0.2">
      <c r="A358" t="str">
        <f>"ADRA1B"</f>
        <v>ADRA1B</v>
      </c>
      <c r="B358" t="s">
        <v>7</v>
      </c>
    </row>
    <row r="359" spans="1:2" x14ac:dyDescent="0.2">
      <c r="A359" t="str">
        <f>"ADRA1D"</f>
        <v>ADRA1D</v>
      </c>
      <c r="B359" t="s">
        <v>7</v>
      </c>
    </row>
    <row r="360" spans="1:2" x14ac:dyDescent="0.2">
      <c r="A360" t="str">
        <f>"ADRA2A"</f>
        <v>ADRA2A</v>
      </c>
      <c r="B360" t="s">
        <v>7</v>
      </c>
    </row>
    <row r="361" spans="1:2" x14ac:dyDescent="0.2">
      <c r="A361" t="str">
        <f>"ADRA2B"</f>
        <v>ADRA2B</v>
      </c>
      <c r="B361" t="s">
        <v>7</v>
      </c>
    </row>
    <row r="362" spans="1:2" x14ac:dyDescent="0.2">
      <c r="A362" t="str">
        <f>"ADRA2C"</f>
        <v>ADRA2C</v>
      </c>
      <c r="B362" t="s">
        <v>7</v>
      </c>
    </row>
    <row r="363" spans="1:2" x14ac:dyDescent="0.2">
      <c r="A363" t="str">
        <f>"ADRB1"</f>
        <v>ADRB1</v>
      </c>
      <c r="B363" t="s">
        <v>7</v>
      </c>
    </row>
    <row r="364" spans="1:2" x14ac:dyDescent="0.2">
      <c r="A364" t="str">
        <f>"ADRB2"</f>
        <v>ADRB2</v>
      </c>
      <c r="B364" t="s">
        <v>7</v>
      </c>
    </row>
    <row r="365" spans="1:2" x14ac:dyDescent="0.2">
      <c r="A365" t="str">
        <f>"ADRB3"</f>
        <v>ADRB3</v>
      </c>
      <c r="B365" t="s">
        <v>7</v>
      </c>
    </row>
    <row r="366" spans="1:2" x14ac:dyDescent="0.2">
      <c r="A366" t="str">
        <f>"ADRBK1"</f>
        <v>ADRBK1</v>
      </c>
      <c r="B366" t="s">
        <v>7</v>
      </c>
    </row>
    <row r="367" spans="1:2" x14ac:dyDescent="0.2">
      <c r="A367" t="str">
        <f>"ADRBK2"</f>
        <v>ADRBK2</v>
      </c>
      <c r="B367" t="s">
        <v>7</v>
      </c>
    </row>
    <row r="368" spans="1:2" x14ac:dyDescent="0.2">
      <c r="A368" t="str">
        <f>"ADRM1"</f>
        <v>ADRM1</v>
      </c>
      <c r="B368" t="s">
        <v>2</v>
      </c>
    </row>
    <row r="369" spans="1:2" x14ac:dyDescent="0.2">
      <c r="A369" t="str">
        <f>"ADSL"</f>
        <v>ADSL</v>
      </c>
      <c r="B369" t="s">
        <v>6</v>
      </c>
    </row>
    <row r="370" spans="1:2" x14ac:dyDescent="0.2">
      <c r="A370" t="str">
        <f>"ADSS"</f>
        <v>ADSS</v>
      </c>
      <c r="B370" t="s">
        <v>3</v>
      </c>
    </row>
    <row r="371" spans="1:2" x14ac:dyDescent="0.2">
      <c r="A371" t="str">
        <f>"ADSSL1"</f>
        <v>ADSSL1</v>
      </c>
      <c r="B371" t="s">
        <v>7</v>
      </c>
    </row>
    <row r="372" spans="1:2" x14ac:dyDescent="0.2">
      <c r="A372" t="str">
        <f>"ADTRP"</f>
        <v>ADTRP</v>
      </c>
      <c r="B372" t="s">
        <v>6</v>
      </c>
    </row>
    <row r="373" spans="1:2" x14ac:dyDescent="0.2">
      <c r="A373" t="str">
        <f>"AEBP1"</f>
        <v>AEBP1</v>
      </c>
      <c r="B373" t="s">
        <v>2</v>
      </c>
    </row>
    <row r="374" spans="1:2" x14ac:dyDescent="0.2">
      <c r="A374" t="str">
        <f>"AEBP2"</f>
        <v>AEBP2</v>
      </c>
      <c r="B374" t="s">
        <v>8</v>
      </c>
    </row>
    <row r="375" spans="1:2" x14ac:dyDescent="0.2">
      <c r="A375" t="str">
        <f>"AEN"</f>
        <v>AEN</v>
      </c>
      <c r="B375" t="s">
        <v>4</v>
      </c>
    </row>
    <row r="376" spans="1:2" x14ac:dyDescent="0.2">
      <c r="A376" t="str">
        <f>"AES"</f>
        <v>AES</v>
      </c>
      <c r="B376" t="s">
        <v>8</v>
      </c>
    </row>
    <row r="377" spans="1:2" x14ac:dyDescent="0.2">
      <c r="A377" t="str">
        <f>"AFAP1"</f>
        <v>AFAP1</v>
      </c>
      <c r="B377" t="s">
        <v>4</v>
      </c>
    </row>
    <row r="378" spans="1:2" x14ac:dyDescent="0.2">
      <c r="A378" t="str">
        <f>"AFAP1L1"</f>
        <v>AFAP1L1</v>
      </c>
      <c r="B378" t="s">
        <v>4</v>
      </c>
    </row>
    <row r="379" spans="1:2" x14ac:dyDescent="0.2">
      <c r="A379" t="str">
        <f>"AFAP1L2"</f>
        <v>AFAP1L2</v>
      </c>
      <c r="B379" t="s">
        <v>3</v>
      </c>
    </row>
    <row r="380" spans="1:2" x14ac:dyDescent="0.2">
      <c r="A380" t="str">
        <f>"AFF1"</f>
        <v>AFF1</v>
      </c>
      <c r="B380" t="s">
        <v>3</v>
      </c>
    </row>
    <row r="381" spans="1:2" x14ac:dyDescent="0.2">
      <c r="A381" t="str">
        <f>"AFF2"</f>
        <v>AFF2</v>
      </c>
      <c r="B381" t="s">
        <v>4</v>
      </c>
    </row>
    <row r="382" spans="1:2" x14ac:dyDescent="0.2">
      <c r="A382" t="str">
        <f>"AFF3"</f>
        <v>AFF3</v>
      </c>
      <c r="B382" t="s">
        <v>3</v>
      </c>
    </row>
    <row r="383" spans="1:2" x14ac:dyDescent="0.2">
      <c r="A383" t="str">
        <f>"AFF4"</f>
        <v>AFF4</v>
      </c>
      <c r="B383" t="s">
        <v>3</v>
      </c>
    </row>
    <row r="384" spans="1:2" x14ac:dyDescent="0.2">
      <c r="A384" t="str">
        <f>"AFG3L2"</f>
        <v>AFG3L2</v>
      </c>
      <c r="B384" t="s">
        <v>7</v>
      </c>
    </row>
    <row r="385" spans="1:2" x14ac:dyDescent="0.2">
      <c r="A385" t="str">
        <f>"AFM"</f>
        <v>AFM</v>
      </c>
      <c r="B385" t="s">
        <v>2</v>
      </c>
    </row>
    <row r="386" spans="1:2" x14ac:dyDescent="0.2">
      <c r="A386" t="str">
        <f>"AFMID"</f>
        <v>AFMID</v>
      </c>
      <c r="B386" t="s">
        <v>3</v>
      </c>
    </row>
    <row r="387" spans="1:2" x14ac:dyDescent="0.2">
      <c r="A387" t="str">
        <f>"AFP"</f>
        <v>AFP</v>
      </c>
      <c r="B387" t="s">
        <v>3</v>
      </c>
    </row>
    <row r="388" spans="1:2" x14ac:dyDescent="0.2">
      <c r="A388" t="str">
        <f>"AFTPH"</f>
        <v>AFTPH</v>
      </c>
      <c r="B388" t="s">
        <v>4</v>
      </c>
    </row>
    <row r="389" spans="1:2" x14ac:dyDescent="0.2">
      <c r="A389" t="str">
        <f>"AGA"</f>
        <v>AGA</v>
      </c>
      <c r="B389" t="s">
        <v>2</v>
      </c>
    </row>
    <row r="390" spans="1:2" x14ac:dyDescent="0.2">
      <c r="A390" t="str">
        <f>"AGAP1"</f>
        <v>AGAP1</v>
      </c>
      <c r="B390" t="s">
        <v>4</v>
      </c>
    </row>
    <row r="391" spans="1:2" x14ac:dyDescent="0.2">
      <c r="A391" t="str">
        <f>"AGAP10"</f>
        <v>AGAP10</v>
      </c>
      <c r="B391" t="s">
        <v>4</v>
      </c>
    </row>
    <row r="392" spans="1:2" x14ac:dyDescent="0.2">
      <c r="A392" t="str">
        <f>"AGAP11"</f>
        <v>AGAP11</v>
      </c>
      <c r="B392" t="s">
        <v>4</v>
      </c>
    </row>
    <row r="393" spans="1:2" x14ac:dyDescent="0.2">
      <c r="A393" t="str">
        <f>"AGAP2"</f>
        <v>AGAP2</v>
      </c>
      <c r="B393" t="s">
        <v>3</v>
      </c>
    </row>
    <row r="394" spans="1:2" x14ac:dyDescent="0.2">
      <c r="A394" t="str">
        <f>"AGAP3"</f>
        <v>AGAP3</v>
      </c>
      <c r="B394" t="s">
        <v>2</v>
      </c>
    </row>
    <row r="395" spans="1:2" x14ac:dyDescent="0.2">
      <c r="A395" t="str">
        <f>"AGAP9"</f>
        <v>AGAP9</v>
      </c>
      <c r="B395" t="s">
        <v>4</v>
      </c>
    </row>
    <row r="396" spans="1:2" x14ac:dyDescent="0.2">
      <c r="A396" t="str">
        <f>"AGBL1"</f>
        <v>AGBL1</v>
      </c>
      <c r="B396" t="s">
        <v>2</v>
      </c>
    </row>
    <row r="397" spans="1:2" x14ac:dyDescent="0.2">
      <c r="A397" t="str">
        <f>"AGBL2"</f>
        <v>AGBL2</v>
      </c>
      <c r="B397" t="s">
        <v>2</v>
      </c>
    </row>
    <row r="398" spans="1:2" x14ac:dyDescent="0.2">
      <c r="A398" t="str">
        <f>"AGBL3"</f>
        <v>AGBL3</v>
      </c>
      <c r="B398" t="s">
        <v>4</v>
      </c>
    </row>
    <row r="399" spans="1:2" x14ac:dyDescent="0.2">
      <c r="A399" t="str">
        <f>"AGBL4"</f>
        <v>AGBL4</v>
      </c>
      <c r="B399" t="s">
        <v>2</v>
      </c>
    </row>
    <row r="400" spans="1:2" x14ac:dyDescent="0.2">
      <c r="A400" t="str">
        <f>"AGBL5"</f>
        <v>AGBL5</v>
      </c>
      <c r="B400" t="s">
        <v>2</v>
      </c>
    </row>
    <row r="401" spans="1:2" x14ac:dyDescent="0.2">
      <c r="A401" t="str">
        <f>"AGER"</f>
        <v>AGER</v>
      </c>
      <c r="B401" t="s">
        <v>5</v>
      </c>
    </row>
    <row r="402" spans="1:2" x14ac:dyDescent="0.2">
      <c r="A402" t="str">
        <f>"AGFG1"</f>
        <v>AGFG1</v>
      </c>
      <c r="B402" t="s">
        <v>2</v>
      </c>
    </row>
    <row r="403" spans="1:2" x14ac:dyDescent="0.2">
      <c r="A403" t="str">
        <f>"AGFG2"</f>
        <v>AGFG2</v>
      </c>
      <c r="B403" t="s">
        <v>3</v>
      </c>
    </row>
    <row r="404" spans="1:2" x14ac:dyDescent="0.2">
      <c r="A404" t="str">
        <f>"AGGF1"</f>
        <v>AGGF1</v>
      </c>
      <c r="B404" t="s">
        <v>8</v>
      </c>
    </row>
    <row r="405" spans="1:2" x14ac:dyDescent="0.2">
      <c r="A405" t="str">
        <f>"AGK"</f>
        <v>AGK</v>
      </c>
      <c r="B405" t="s">
        <v>6</v>
      </c>
    </row>
    <row r="406" spans="1:2" x14ac:dyDescent="0.2">
      <c r="A406" t="str">
        <f>"AGL"</f>
        <v>AGL</v>
      </c>
      <c r="B406" t="s">
        <v>2</v>
      </c>
    </row>
    <row r="407" spans="1:2" x14ac:dyDescent="0.2">
      <c r="A407" t="str">
        <f>"AGMAT"</f>
        <v>AGMAT</v>
      </c>
      <c r="B407" t="s">
        <v>6</v>
      </c>
    </row>
    <row r="408" spans="1:2" x14ac:dyDescent="0.2">
      <c r="A408" t="str">
        <f>"AGMO"</f>
        <v>AGMO</v>
      </c>
      <c r="B408" t="s">
        <v>2</v>
      </c>
    </row>
    <row r="409" spans="1:2" x14ac:dyDescent="0.2">
      <c r="A409" t="str">
        <f>"AGO1"</f>
        <v>AGO1</v>
      </c>
      <c r="B409" t="s">
        <v>8</v>
      </c>
    </row>
    <row r="410" spans="1:2" x14ac:dyDescent="0.2">
      <c r="A410" t="str">
        <f>"AGO2"</f>
        <v>AGO2</v>
      </c>
      <c r="B410" t="s">
        <v>8</v>
      </c>
    </row>
    <row r="411" spans="1:2" x14ac:dyDescent="0.2">
      <c r="A411" t="str">
        <f>"AGO3"</f>
        <v>AGO3</v>
      </c>
      <c r="B411" t="s">
        <v>8</v>
      </c>
    </row>
    <row r="412" spans="1:2" x14ac:dyDescent="0.2">
      <c r="A412" t="str">
        <f>"AGO4"</f>
        <v>AGO4</v>
      </c>
      <c r="B412" t="s">
        <v>8</v>
      </c>
    </row>
    <row r="413" spans="1:2" x14ac:dyDescent="0.2">
      <c r="A413" t="str">
        <f>"AGPAT1"</f>
        <v>AGPAT1</v>
      </c>
      <c r="B413" t="s">
        <v>2</v>
      </c>
    </row>
    <row r="414" spans="1:2" x14ac:dyDescent="0.2">
      <c r="A414" t="str">
        <f>"AGPAT2"</f>
        <v>AGPAT2</v>
      </c>
      <c r="B414" t="s">
        <v>3</v>
      </c>
    </row>
    <row r="415" spans="1:2" x14ac:dyDescent="0.2">
      <c r="A415" t="str">
        <f>"AGPAT3"</f>
        <v>AGPAT3</v>
      </c>
      <c r="B415" t="s">
        <v>6</v>
      </c>
    </row>
    <row r="416" spans="1:2" x14ac:dyDescent="0.2">
      <c r="A416" t="str">
        <f>"AGPAT4"</f>
        <v>AGPAT4</v>
      </c>
      <c r="B416" t="s">
        <v>5</v>
      </c>
    </row>
    <row r="417" spans="1:2" x14ac:dyDescent="0.2">
      <c r="A417" t="str">
        <f>"AGPAT5"</f>
        <v>AGPAT5</v>
      </c>
      <c r="B417" t="s">
        <v>6</v>
      </c>
    </row>
    <row r="418" spans="1:2" x14ac:dyDescent="0.2">
      <c r="A418" t="str">
        <f>"AGPAT6"</f>
        <v>AGPAT6</v>
      </c>
      <c r="B418" t="s">
        <v>2</v>
      </c>
    </row>
    <row r="419" spans="1:2" x14ac:dyDescent="0.2">
      <c r="A419" t="str">
        <f>"AGPAT9"</f>
        <v>AGPAT9</v>
      </c>
      <c r="B419" t="s">
        <v>6</v>
      </c>
    </row>
    <row r="420" spans="1:2" x14ac:dyDescent="0.2">
      <c r="A420" t="str">
        <f>"AGPS"</f>
        <v>AGPS</v>
      </c>
      <c r="B420" t="s">
        <v>6</v>
      </c>
    </row>
    <row r="421" spans="1:2" x14ac:dyDescent="0.2">
      <c r="A421" t="str">
        <f>"AGR2"</f>
        <v>AGR2</v>
      </c>
      <c r="B421" t="s">
        <v>6</v>
      </c>
    </row>
    <row r="422" spans="1:2" x14ac:dyDescent="0.2">
      <c r="A422" t="str">
        <f>"AGR3"</f>
        <v>AGR3</v>
      </c>
      <c r="B422" t="s">
        <v>4</v>
      </c>
    </row>
    <row r="423" spans="1:2" x14ac:dyDescent="0.2">
      <c r="A423" t="str">
        <f>"AGRN"</f>
        <v>AGRN</v>
      </c>
      <c r="B423" t="s">
        <v>8</v>
      </c>
    </row>
    <row r="424" spans="1:2" x14ac:dyDescent="0.2">
      <c r="A424" t="str">
        <f>"AGRP"</f>
        <v>AGRP</v>
      </c>
      <c r="B424" t="s">
        <v>4</v>
      </c>
    </row>
    <row r="425" spans="1:2" x14ac:dyDescent="0.2">
      <c r="A425" t="str">
        <f>"AGT"</f>
        <v>AGT</v>
      </c>
      <c r="B425" t="s">
        <v>3</v>
      </c>
    </row>
    <row r="426" spans="1:2" x14ac:dyDescent="0.2">
      <c r="A426" t="str">
        <f>"AGTPBP1"</f>
        <v>AGTPBP1</v>
      </c>
      <c r="B426" t="s">
        <v>2</v>
      </c>
    </row>
    <row r="427" spans="1:2" x14ac:dyDescent="0.2">
      <c r="A427" t="str">
        <f>"AGTR1"</f>
        <v>AGTR1</v>
      </c>
      <c r="B427" t="s">
        <v>7</v>
      </c>
    </row>
    <row r="428" spans="1:2" x14ac:dyDescent="0.2">
      <c r="A428" t="str">
        <f>"AGTR2"</f>
        <v>AGTR2</v>
      </c>
      <c r="B428" t="s">
        <v>7</v>
      </c>
    </row>
    <row r="429" spans="1:2" x14ac:dyDescent="0.2">
      <c r="A429" t="str">
        <f>"AGTRAP"</f>
        <v>AGTRAP</v>
      </c>
      <c r="B429" t="s">
        <v>6</v>
      </c>
    </row>
    <row r="430" spans="1:2" x14ac:dyDescent="0.2">
      <c r="A430" t="str">
        <f>"AGXT"</f>
        <v>AGXT</v>
      </c>
      <c r="B430" t="s">
        <v>7</v>
      </c>
    </row>
    <row r="431" spans="1:2" x14ac:dyDescent="0.2">
      <c r="A431" t="str">
        <f>"AGXT2"</f>
        <v>AGXT2</v>
      </c>
      <c r="B431" t="s">
        <v>7</v>
      </c>
    </row>
    <row r="432" spans="1:2" x14ac:dyDescent="0.2">
      <c r="A432" t="str">
        <f>"AHCTF1"</f>
        <v>AHCTF1</v>
      </c>
      <c r="B432" t="s">
        <v>8</v>
      </c>
    </row>
    <row r="433" spans="1:2" x14ac:dyDescent="0.2">
      <c r="A433" t="str">
        <f>"AHCY"</f>
        <v>AHCY</v>
      </c>
      <c r="B433" t="s">
        <v>7</v>
      </c>
    </row>
    <row r="434" spans="1:2" x14ac:dyDescent="0.2">
      <c r="A434" t="str">
        <f>"AHCYL1"</f>
        <v>AHCYL1</v>
      </c>
      <c r="B434" t="s">
        <v>2</v>
      </c>
    </row>
    <row r="435" spans="1:2" x14ac:dyDescent="0.2">
      <c r="A435" t="str">
        <f>"AHCYL2"</f>
        <v>AHCYL2</v>
      </c>
      <c r="B435" t="s">
        <v>3</v>
      </c>
    </row>
    <row r="436" spans="1:2" x14ac:dyDescent="0.2">
      <c r="A436" t="str">
        <f>"AHDC1"</f>
        <v>AHDC1</v>
      </c>
      <c r="B436" t="s">
        <v>8</v>
      </c>
    </row>
    <row r="437" spans="1:2" x14ac:dyDescent="0.2">
      <c r="A437" t="str">
        <f>"AHI1"</f>
        <v>AHI1</v>
      </c>
      <c r="B437" t="s">
        <v>6</v>
      </c>
    </row>
    <row r="438" spans="1:2" x14ac:dyDescent="0.2">
      <c r="A438" t="str">
        <f>"AHNAK"</f>
        <v>AHNAK</v>
      </c>
      <c r="B438" t="s">
        <v>3</v>
      </c>
    </row>
    <row r="439" spans="1:2" x14ac:dyDescent="0.2">
      <c r="A439" t="str">
        <f>"AHNAK2"</f>
        <v>AHNAK2</v>
      </c>
      <c r="B439" t="s">
        <v>4</v>
      </c>
    </row>
    <row r="440" spans="1:2" x14ac:dyDescent="0.2">
      <c r="A440" t="str">
        <f>"AHR"</f>
        <v>AHR</v>
      </c>
      <c r="B440" t="s">
        <v>3</v>
      </c>
    </row>
    <row r="441" spans="1:2" x14ac:dyDescent="0.2">
      <c r="A441" t="str">
        <f>"AHRR"</f>
        <v>AHRR</v>
      </c>
      <c r="B441" t="s">
        <v>8</v>
      </c>
    </row>
    <row r="442" spans="1:2" x14ac:dyDescent="0.2">
      <c r="A442" t="str">
        <f>"AHSA1"</f>
        <v>AHSA1</v>
      </c>
      <c r="B442" t="s">
        <v>2</v>
      </c>
    </row>
    <row r="443" spans="1:2" x14ac:dyDescent="0.2">
      <c r="A443" t="str">
        <f>"AHSA2"</f>
        <v>AHSA2</v>
      </c>
      <c r="B443" t="s">
        <v>2</v>
      </c>
    </row>
    <row r="444" spans="1:2" x14ac:dyDescent="0.2">
      <c r="A444" t="str">
        <f>"AHSG"</f>
        <v>AHSG</v>
      </c>
      <c r="B444" t="s">
        <v>2</v>
      </c>
    </row>
    <row r="445" spans="1:2" x14ac:dyDescent="0.2">
      <c r="A445" t="str">
        <f>"AHSP"</f>
        <v>AHSP</v>
      </c>
      <c r="B445" t="s">
        <v>2</v>
      </c>
    </row>
    <row r="446" spans="1:2" x14ac:dyDescent="0.2">
      <c r="A446" t="str">
        <f>"AICDA"</f>
        <v>AICDA</v>
      </c>
      <c r="B446" t="s">
        <v>3</v>
      </c>
    </row>
    <row r="447" spans="1:2" x14ac:dyDescent="0.2">
      <c r="A447" t="str">
        <f>"AIDA"</f>
        <v>AIDA</v>
      </c>
      <c r="B447" t="s">
        <v>4</v>
      </c>
    </row>
    <row r="448" spans="1:2" x14ac:dyDescent="0.2">
      <c r="A448" t="str">
        <f>"AIF1"</f>
        <v>AIF1</v>
      </c>
      <c r="B448" t="s">
        <v>3</v>
      </c>
    </row>
    <row r="449" spans="1:2" x14ac:dyDescent="0.2">
      <c r="A449" t="str">
        <f>"AIF1L"</f>
        <v>AIF1L</v>
      </c>
      <c r="B449" t="s">
        <v>6</v>
      </c>
    </row>
    <row r="450" spans="1:2" x14ac:dyDescent="0.2">
      <c r="A450" t="str">
        <f>"AIFM1"</f>
        <v>AIFM1</v>
      </c>
      <c r="B450" t="s">
        <v>3</v>
      </c>
    </row>
    <row r="451" spans="1:2" x14ac:dyDescent="0.2">
      <c r="A451" t="str">
        <f>"AIFM2"</f>
        <v>AIFM2</v>
      </c>
      <c r="B451" t="s">
        <v>3</v>
      </c>
    </row>
    <row r="452" spans="1:2" x14ac:dyDescent="0.2">
      <c r="A452" t="str">
        <f>"AIFM3"</f>
        <v>AIFM3</v>
      </c>
      <c r="B452" t="s">
        <v>2</v>
      </c>
    </row>
    <row r="453" spans="1:2" x14ac:dyDescent="0.2">
      <c r="A453" t="str">
        <f>"AIG1"</f>
        <v>AIG1</v>
      </c>
      <c r="B453" t="s">
        <v>5</v>
      </c>
    </row>
    <row r="454" spans="1:2" x14ac:dyDescent="0.2">
      <c r="A454" t="str">
        <f>"AIM1"</f>
        <v>AIM1</v>
      </c>
      <c r="B454" t="s">
        <v>3</v>
      </c>
    </row>
    <row r="455" spans="1:2" x14ac:dyDescent="0.2">
      <c r="A455" t="str">
        <f>"AIM1L"</f>
        <v>AIM1L</v>
      </c>
      <c r="B455" t="s">
        <v>4</v>
      </c>
    </row>
    <row r="456" spans="1:2" x14ac:dyDescent="0.2">
      <c r="A456" t="str">
        <f>"AIM2"</f>
        <v>AIM2</v>
      </c>
      <c r="B456" t="s">
        <v>6</v>
      </c>
    </row>
    <row r="457" spans="1:2" x14ac:dyDescent="0.2">
      <c r="A457" t="str">
        <f>"AIMP1"</f>
        <v>AIMP1</v>
      </c>
      <c r="B457" t="s">
        <v>8</v>
      </c>
    </row>
    <row r="458" spans="1:2" x14ac:dyDescent="0.2">
      <c r="A458" t="str">
        <f>"AIMP2"</f>
        <v>AIMP2</v>
      </c>
      <c r="B458" t="s">
        <v>2</v>
      </c>
    </row>
    <row r="459" spans="1:2" x14ac:dyDescent="0.2">
      <c r="A459" t="str">
        <f>"AIP"</f>
        <v>AIP</v>
      </c>
      <c r="B459" t="s">
        <v>2</v>
      </c>
    </row>
    <row r="460" spans="1:2" x14ac:dyDescent="0.2">
      <c r="A460" t="str">
        <f>"AIPL1"</f>
        <v>AIPL1</v>
      </c>
      <c r="B460" t="s">
        <v>2</v>
      </c>
    </row>
    <row r="461" spans="1:2" x14ac:dyDescent="0.2">
      <c r="A461" t="str">
        <f>"AIRE"</f>
        <v>AIRE</v>
      </c>
      <c r="B461" t="s">
        <v>8</v>
      </c>
    </row>
    <row r="462" spans="1:2" x14ac:dyDescent="0.2">
      <c r="A462" t="str">
        <f>"AJAP1"</f>
        <v>AJAP1</v>
      </c>
      <c r="B462" t="s">
        <v>5</v>
      </c>
    </row>
    <row r="463" spans="1:2" x14ac:dyDescent="0.2">
      <c r="A463" t="str">
        <f>"AJUBA"</f>
        <v>AJUBA</v>
      </c>
      <c r="B463" t="s">
        <v>3</v>
      </c>
    </row>
    <row r="464" spans="1:2" x14ac:dyDescent="0.2">
      <c r="A464" t="str">
        <f>"AK1"</f>
        <v>AK1</v>
      </c>
      <c r="B464" t="s">
        <v>7</v>
      </c>
    </row>
    <row r="465" spans="1:2" x14ac:dyDescent="0.2">
      <c r="A465" t="str">
        <f>"AK2"</f>
        <v>AK2</v>
      </c>
      <c r="B465" t="s">
        <v>7</v>
      </c>
    </row>
    <row r="466" spans="1:2" x14ac:dyDescent="0.2">
      <c r="A466" t="str">
        <f>"AK3"</f>
        <v>AK3</v>
      </c>
      <c r="B466" t="s">
        <v>7</v>
      </c>
    </row>
    <row r="467" spans="1:2" x14ac:dyDescent="0.2">
      <c r="A467" t="str">
        <f>"AK4"</f>
        <v>AK4</v>
      </c>
      <c r="B467" t="s">
        <v>7</v>
      </c>
    </row>
    <row r="468" spans="1:2" x14ac:dyDescent="0.2">
      <c r="A468" t="str">
        <f>"AK5"</f>
        <v>AK5</v>
      </c>
      <c r="B468" t="s">
        <v>7</v>
      </c>
    </row>
    <row r="469" spans="1:2" x14ac:dyDescent="0.2">
      <c r="A469" t="str">
        <f>"AK7"</f>
        <v>AK7</v>
      </c>
      <c r="B469" t="s">
        <v>7</v>
      </c>
    </row>
    <row r="470" spans="1:2" x14ac:dyDescent="0.2">
      <c r="A470" t="str">
        <f>"AK8"</f>
        <v>AK8</v>
      </c>
      <c r="B470" t="s">
        <v>7</v>
      </c>
    </row>
    <row r="471" spans="1:2" x14ac:dyDescent="0.2">
      <c r="A471" t="str">
        <f>"AK9"</f>
        <v>AK9</v>
      </c>
      <c r="B471" t="s">
        <v>4</v>
      </c>
    </row>
    <row r="472" spans="1:2" x14ac:dyDescent="0.2">
      <c r="A472" t="str">
        <f>"AKAP1"</f>
        <v>AKAP1</v>
      </c>
      <c r="B472" t="s">
        <v>7</v>
      </c>
    </row>
    <row r="473" spans="1:2" x14ac:dyDescent="0.2">
      <c r="A473" t="str">
        <f>"AKAP10"</f>
        <v>AKAP10</v>
      </c>
      <c r="B473" t="s">
        <v>7</v>
      </c>
    </row>
    <row r="474" spans="1:2" x14ac:dyDescent="0.2">
      <c r="A474" t="str">
        <f>"AKAP11"</f>
        <v>AKAP11</v>
      </c>
      <c r="B474" t="s">
        <v>7</v>
      </c>
    </row>
    <row r="475" spans="1:2" x14ac:dyDescent="0.2">
      <c r="A475" t="str">
        <f>"AKAP12"</f>
        <v>AKAP12</v>
      </c>
      <c r="B475" t="s">
        <v>7</v>
      </c>
    </row>
    <row r="476" spans="1:2" x14ac:dyDescent="0.2">
      <c r="A476" t="str">
        <f>"AKAP13"</f>
        <v>AKAP13</v>
      </c>
      <c r="B476" t="s">
        <v>7</v>
      </c>
    </row>
    <row r="477" spans="1:2" x14ac:dyDescent="0.2">
      <c r="A477" t="str">
        <f>"AKAP14"</f>
        <v>AKAP14</v>
      </c>
      <c r="B477" t="s">
        <v>7</v>
      </c>
    </row>
    <row r="478" spans="1:2" x14ac:dyDescent="0.2">
      <c r="A478" t="str">
        <f>"AKAP17A"</f>
        <v>AKAP17A</v>
      </c>
      <c r="B478" t="s">
        <v>6</v>
      </c>
    </row>
    <row r="479" spans="1:2" x14ac:dyDescent="0.2">
      <c r="A479" t="str">
        <f>"AKAP2"</f>
        <v>AKAP2</v>
      </c>
      <c r="B479" t="s">
        <v>3</v>
      </c>
    </row>
    <row r="480" spans="1:2" x14ac:dyDescent="0.2">
      <c r="A480" t="str">
        <f>"AKAP3"</f>
        <v>AKAP3</v>
      </c>
      <c r="B480" t="s">
        <v>7</v>
      </c>
    </row>
    <row r="481" spans="1:2" x14ac:dyDescent="0.2">
      <c r="A481" t="str">
        <f>"AKAP4"</f>
        <v>AKAP4</v>
      </c>
      <c r="B481" t="s">
        <v>7</v>
      </c>
    </row>
    <row r="482" spans="1:2" x14ac:dyDescent="0.2">
      <c r="A482" t="str">
        <f>"AKAP5"</f>
        <v>AKAP5</v>
      </c>
      <c r="B482" t="s">
        <v>7</v>
      </c>
    </row>
    <row r="483" spans="1:2" x14ac:dyDescent="0.2">
      <c r="A483" t="str">
        <f>"AKAP6"</f>
        <v>AKAP6</v>
      </c>
      <c r="B483" t="s">
        <v>7</v>
      </c>
    </row>
    <row r="484" spans="1:2" x14ac:dyDescent="0.2">
      <c r="A484" t="str">
        <f>"AKAP7"</f>
        <v>AKAP7</v>
      </c>
      <c r="B484" t="s">
        <v>7</v>
      </c>
    </row>
    <row r="485" spans="1:2" x14ac:dyDescent="0.2">
      <c r="A485" t="str">
        <f>"AKAP8"</f>
        <v>AKAP8</v>
      </c>
      <c r="B485" t="s">
        <v>7</v>
      </c>
    </row>
    <row r="486" spans="1:2" x14ac:dyDescent="0.2">
      <c r="A486" t="str">
        <f>"AKAP8L"</f>
        <v>AKAP8L</v>
      </c>
      <c r="B486" t="s">
        <v>7</v>
      </c>
    </row>
    <row r="487" spans="1:2" x14ac:dyDescent="0.2">
      <c r="A487" t="str">
        <f>"AKAP9"</f>
        <v>AKAP9</v>
      </c>
      <c r="B487" t="s">
        <v>7</v>
      </c>
    </row>
    <row r="488" spans="1:2" x14ac:dyDescent="0.2">
      <c r="A488" t="str">
        <f>"AKIP1"</f>
        <v>AKIP1</v>
      </c>
      <c r="B488" t="s">
        <v>4</v>
      </c>
    </row>
    <row r="489" spans="1:2" x14ac:dyDescent="0.2">
      <c r="A489" t="str">
        <f>"AKIRIN1"</f>
        <v>AKIRIN1</v>
      </c>
      <c r="B489" t="s">
        <v>4</v>
      </c>
    </row>
    <row r="490" spans="1:2" x14ac:dyDescent="0.2">
      <c r="A490" t="str">
        <f>"AKIRIN2"</f>
        <v>AKIRIN2</v>
      </c>
      <c r="B490" t="s">
        <v>4</v>
      </c>
    </row>
    <row r="491" spans="1:2" x14ac:dyDescent="0.2">
      <c r="A491" t="str">
        <f>"AKNA"</f>
        <v>AKNA</v>
      </c>
      <c r="B491" t="s">
        <v>8</v>
      </c>
    </row>
    <row r="492" spans="1:2" x14ac:dyDescent="0.2">
      <c r="A492" t="str">
        <f>"AKNAD1"</f>
        <v>AKNAD1</v>
      </c>
      <c r="B492" t="s">
        <v>4</v>
      </c>
    </row>
    <row r="493" spans="1:2" x14ac:dyDescent="0.2">
      <c r="A493" t="str">
        <f>"AKR1A1"</f>
        <v>AKR1A1</v>
      </c>
      <c r="B493" t="s">
        <v>7</v>
      </c>
    </row>
    <row r="494" spans="1:2" x14ac:dyDescent="0.2">
      <c r="A494" t="str">
        <f>"AKR1B1"</f>
        <v>AKR1B1</v>
      </c>
      <c r="B494" t="s">
        <v>7</v>
      </c>
    </row>
    <row r="495" spans="1:2" x14ac:dyDescent="0.2">
      <c r="A495" t="str">
        <f>"AKR1B10"</f>
        <v>AKR1B10</v>
      </c>
      <c r="B495" t="s">
        <v>7</v>
      </c>
    </row>
    <row r="496" spans="1:2" x14ac:dyDescent="0.2">
      <c r="A496" t="str">
        <f>"AKR1B15"</f>
        <v>AKR1B15</v>
      </c>
      <c r="B496" t="s">
        <v>6</v>
      </c>
    </row>
    <row r="497" spans="1:2" x14ac:dyDescent="0.2">
      <c r="A497" t="str">
        <f>"AKR1C1"</f>
        <v>AKR1C1</v>
      </c>
      <c r="B497" t="s">
        <v>3</v>
      </c>
    </row>
    <row r="498" spans="1:2" x14ac:dyDescent="0.2">
      <c r="A498" t="str">
        <f>"AKR1C2"</f>
        <v>AKR1C2</v>
      </c>
      <c r="B498" t="s">
        <v>3</v>
      </c>
    </row>
    <row r="499" spans="1:2" x14ac:dyDescent="0.2">
      <c r="A499" t="str">
        <f>"AKR1C3"</f>
        <v>AKR1C3</v>
      </c>
      <c r="B499" t="s">
        <v>3</v>
      </c>
    </row>
    <row r="500" spans="1:2" x14ac:dyDescent="0.2">
      <c r="A500" t="str">
        <f>"AKR1C4"</f>
        <v>AKR1C4</v>
      </c>
      <c r="B500" t="s">
        <v>3</v>
      </c>
    </row>
    <row r="501" spans="1:2" x14ac:dyDescent="0.2">
      <c r="A501" t="str">
        <f>"AKR1D1"</f>
        <v>AKR1D1</v>
      </c>
      <c r="B501" t="s">
        <v>3</v>
      </c>
    </row>
    <row r="502" spans="1:2" x14ac:dyDescent="0.2">
      <c r="A502" t="str">
        <f>"AKR1E2"</f>
        <v>AKR1E2</v>
      </c>
      <c r="B502" t="s">
        <v>4</v>
      </c>
    </row>
    <row r="503" spans="1:2" x14ac:dyDescent="0.2">
      <c r="A503" t="str">
        <f>"AKR7A2"</f>
        <v>AKR7A2</v>
      </c>
      <c r="B503" t="s">
        <v>6</v>
      </c>
    </row>
    <row r="504" spans="1:2" x14ac:dyDescent="0.2">
      <c r="A504" t="str">
        <f>"AKR7A3"</f>
        <v>AKR7A3</v>
      </c>
      <c r="B504" t="s">
        <v>2</v>
      </c>
    </row>
    <row r="505" spans="1:2" x14ac:dyDescent="0.2">
      <c r="A505" t="str">
        <f>"AKT1"</f>
        <v>AKT1</v>
      </c>
      <c r="B505" t="s">
        <v>7</v>
      </c>
    </row>
    <row r="506" spans="1:2" x14ac:dyDescent="0.2">
      <c r="A506" t="str">
        <f>"AKT1S1"</f>
        <v>AKT1S1</v>
      </c>
      <c r="B506" t="s">
        <v>4</v>
      </c>
    </row>
    <row r="507" spans="1:2" x14ac:dyDescent="0.2">
      <c r="A507" t="str">
        <f>"AKT2"</f>
        <v>AKT2</v>
      </c>
      <c r="B507" t="s">
        <v>7</v>
      </c>
    </row>
    <row r="508" spans="1:2" x14ac:dyDescent="0.2">
      <c r="A508" t="str">
        <f>"AKT3"</f>
        <v>AKT3</v>
      </c>
      <c r="B508" t="s">
        <v>7</v>
      </c>
    </row>
    <row r="509" spans="1:2" x14ac:dyDescent="0.2">
      <c r="A509" t="str">
        <f>"AKTIP"</f>
        <v>AKTIP</v>
      </c>
      <c r="B509" t="s">
        <v>8</v>
      </c>
    </row>
    <row r="510" spans="1:2" x14ac:dyDescent="0.2">
      <c r="A510" t="str">
        <f>"ALAD"</f>
        <v>ALAD</v>
      </c>
      <c r="B510" t="s">
        <v>3</v>
      </c>
    </row>
    <row r="511" spans="1:2" x14ac:dyDescent="0.2">
      <c r="A511" t="str">
        <f>"ALAS1"</f>
        <v>ALAS1</v>
      </c>
      <c r="B511" t="s">
        <v>7</v>
      </c>
    </row>
    <row r="512" spans="1:2" x14ac:dyDescent="0.2">
      <c r="A512" t="str">
        <f>"ALAS2"</f>
        <v>ALAS2</v>
      </c>
      <c r="B512" t="s">
        <v>7</v>
      </c>
    </row>
    <row r="513" spans="1:2" x14ac:dyDescent="0.2">
      <c r="A513" t="str">
        <f>"ALB"</f>
        <v>ALB</v>
      </c>
      <c r="B513" t="s">
        <v>2</v>
      </c>
    </row>
    <row r="514" spans="1:2" x14ac:dyDescent="0.2">
      <c r="A514" t="str">
        <f>"ALCAM"</f>
        <v>ALCAM</v>
      </c>
      <c r="B514" t="s">
        <v>3</v>
      </c>
    </row>
    <row r="515" spans="1:2" x14ac:dyDescent="0.2">
      <c r="A515" t="str">
        <f>"ALDH16A1"</f>
        <v>ALDH16A1</v>
      </c>
      <c r="B515" t="s">
        <v>4</v>
      </c>
    </row>
    <row r="516" spans="1:2" x14ac:dyDescent="0.2">
      <c r="A516" t="str">
        <f>"ALDH18A1"</f>
        <v>ALDH18A1</v>
      </c>
      <c r="B516" t="s">
        <v>7</v>
      </c>
    </row>
    <row r="517" spans="1:2" x14ac:dyDescent="0.2">
      <c r="A517" t="str">
        <f>"ALDH1A1"</f>
        <v>ALDH1A1</v>
      </c>
      <c r="B517" t="s">
        <v>3</v>
      </c>
    </row>
    <row r="518" spans="1:2" x14ac:dyDescent="0.2">
      <c r="A518" t="str">
        <f>"ALDH1A2"</f>
        <v>ALDH1A2</v>
      </c>
      <c r="B518" t="s">
        <v>7</v>
      </c>
    </row>
    <row r="519" spans="1:2" x14ac:dyDescent="0.2">
      <c r="A519" t="str">
        <f>"ALDH1A3"</f>
        <v>ALDH1A3</v>
      </c>
      <c r="B519" t="s">
        <v>3</v>
      </c>
    </row>
    <row r="520" spans="1:2" x14ac:dyDescent="0.2">
      <c r="A520" t="str">
        <f>"ALDH1B1"</f>
        <v>ALDH1B1</v>
      </c>
      <c r="B520" t="s">
        <v>7</v>
      </c>
    </row>
    <row r="521" spans="1:2" x14ac:dyDescent="0.2">
      <c r="A521" t="str">
        <f>"ALDH1L1"</f>
        <v>ALDH1L1</v>
      </c>
      <c r="B521" t="s">
        <v>7</v>
      </c>
    </row>
    <row r="522" spans="1:2" x14ac:dyDescent="0.2">
      <c r="A522" t="str">
        <f>"ALDH1L2"</f>
        <v>ALDH1L2</v>
      </c>
      <c r="B522" t="s">
        <v>2</v>
      </c>
    </row>
    <row r="523" spans="1:2" x14ac:dyDescent="0.2">
      <c r="A523" t="str">
        <f>"ALDH2"</f>
        <v>ALDH2</v>
      </c>
      <c r="B523" t="s">
        <v>3</v>
      </c>
    </row>
    <row r="524" spans="1:2" x14ac:dyDescent="0.2">
      <c r="A524" t="str">
        <f>"ALDH3A1"</f>
        <v>ALDH3A1</v>
      </c>
      <c r="B524" t="s">
        <v>7</v>
      </c>
    </row>
    <row r="525" spans="1:2" x14ac:dyDescent="0.2">
      <c r="A525" t="str">
        <f>"ALDH3A2"</f>
        <v>ALDH3A2</v>
      </c>
      <c r="B525" t="s">
        <v>7</v>
      </c>
    </row>
    <row r="526" spans="1:2" x14ac:dyDescent="0.2">
      <c r="A526" t="str">
        <f>"ALDH3B1"</f>
        <v>ALDH3B1</v>
      </c>
      <c r="B526" t="s">
        <v>7</v>
      </c>
    </row>
    <row r="527" spans="1:2" x14ac:dyDescent="0.2">
      <c r="A527" t="str">
        <f>"ALDH3B2"</f>
        <v>ALDH3B2</v>
      </c>
      <c r="B527" t="s">
        <v>3</v>
      </c>
    </row>
    <row r="528" spans="1:2" x14ac:dyDescent="0.2">
      <c r="A528" t="str">
        <f>"ALDH4A1"</f>
        <v>ALDH4A1</v>
      </c>
      <c r="B528" t="s">
        <v>7</v>
      </c>
    </row>
    <row r="529" spans="1:2" x14ac:dyDescent="0.2">
      <c r="A529" t="str">
        <f>"ALDH5A1"</f>
        <v>ALDH5A1</v>
      </c>
      <c r="B529" t="s">
        <v>7</v>
      </c>
    </row>
    <row r="530" spans="1:2" x14ac:dyDescent="0.2">
      <c r="A530" t="str">
        <f>"ALDH6A1"</f>
        <v>ALDH6A1</v>
      </c>
      <c r="B530" t="s">
        <v>3</v>
      </c>
    </row>
    <row r="531" spans="1:2" x14ac:dyDescent="0.2">
      <c r="A531" t="str">
        <f>"ALDH7A1"</f>
        <v>ALDH7A1</v>
      </c>
      <c r="B531" t="s">
        <v>3</v>
      </c>
    </row>
    <row r="532" spans="1:2" x14ac:dyDescent="0.2">
      <c r="A532" t="str">
        <f>"ALDH8A1"</f>
        <v>ALDH8A1</v>
      </c>
      <c r="B532" t="s">
        <v>6</v>
      </c>
    </row>
    <row r="533" spans="1:2" x14ac:dyDescent="0.2">
      <c r="A533" t="str">
        <f>"ALDH9A1"</f>
        <v>ALDH9A1</v>
      </c>
      <c r="B533" t="s">
        <v>7</v>
      </c>
    </row>
    <row r="534" spans="1:2" x14ac:dyDescent="0.2">
      <c r="A534" t="str">
        <f>"ALDOA"</f>
        <v>ALDOA</v>
      </c>
      <c r="B534" t="s">
        <v>3</v>
      </c>
    </row>
    <row r="535" spans="1:2" x14ac:dyDescent="0.2">
      <c r="A535" t="str">
        <f>"ALDOB"</f>
        <v>ALDOB</v>
      </c>
      <c r="B535" t="s">
        <v>3</v>
      </c>
    </row>
    <row r="536" spans="1:2" x14ac:dyDescent="0.2">
      <c r="A536" t="str">
        <f>"ALDOC"</f>
        <v>ALDOC</v>
      </c>
      <c r="B536" t="s">
        <v>3</v>
      </c>
    </row>
    <row r="537" spans="1:2" x14ac:dyDescent="0.2">
      <c r="A537" t="str">
        <f>"ALG1"</f>
        <v>ALG1</v>
      </c>
      <c r="B537" t="s">
        <v>6</v>
      </c>
    </row>
    <row r="538" spans="1:2" x14ac:dyDescent="0.2">
      <c r="A538" t="str">
        <f>"ALG10"</f>
        <v>ALG10</v>
      </c>
      <c r="B538" t="s">
        <v>5</v>
      </c>
    </row>
    <row r="539" spans="1:2" x14ac:dyDescent="0.2">
      <c r="A539" t="str">
        <f>"ALG10B"</f>
        <v>ALG10B</v>
      </c>
      <c r="B539" t="s">
        <v>6</v>
      </c>
    </row>
    <row r="540" spans="1:2" x14ac:dyDescent="0.2">
      <c r="A540" t="str">
        <f>"ALG11"</f>
        <v>ALG11</v>
      </c>
      <c r="B540" t="s">
        <v>6</v>
      </c>
    </row>
    <row r="541" spans="1:2" x14ac:dyDescent="0.2">
      <c r="A541" t="str">
        <f>"ALG12"</f>
        <v>ALG12</v>
      </c>
      <c r="B541" t="s">
        <v>3</v>
      </c>
    </row>
    <row r="542" spans="1:2" x14ac:dyDescent="0.2">
      <c r="A542" t="str">
        <f>"ALG13"</f>
        <v>ALG13</v>
      </c>
      <c r="B542" t="s">
        <v>6</v>
      </c>
    </row>
    <row r="543" spans="1:2" x14ac:dyDescent="0.2">
      <c r="A543" t="str">
        <f>"ALG14"</f>
        <v>ALG14</v>
      </c>
      <c r="B543" t="s">
        <v>2</v>
      </c>
    </row>
    <row r="544" spans="1:2" x14ac:dyDescent="0.2">
      <c r="A544" t="str">
        <f>"ALG1L"</f>
        <v>ALG1L</v>
      </c>
      <c r="B544" t="s">
        <v>4</v>
      </c>
    </row>
    <row r="545" spans="1:2" x14ac:dyDescent="0.2">
      <c r="A545" t="str">
        <f>"ALG2"</f>
        <v>ALG2</v>
      </c>
      <c r="B545" t="s">
        <v>2</v>
      </c>
    </row>
    <row r="546" spans="1:2" x14ac:dyDescent="0.2">
      <c r="A546" t="str">
        <f>"ALG3"</f>
        <v>ALG3</v>
      </c>
      <c r="B546" t="s">
        <v>6</v>
      </c>
    </row>
    <row r="547" spans="1:2" x14ac:dyDescent="0.2">
      <c r="A547" t="str">
        <f>"ALG5"</f>
        <v>ALG5</v>
      </c>
      <c r="B547" t="s">
        <v>6</v>
      </c>
    </row>
    <row r="548" spans="1:2" x14ac:dyDescent="0.2">
      <c r="A548" t="str">
        <f>"ALG6"</f>
        <v>ALG6</v>
      </c>
      <c r="B548" t="s">
        <v>2</v>
      </c>
    </row>
    <row r="549" spans="1:2" x14ac:dyDescent="0.2">
      <c r="A549" t="str">
        <f>"ALG8"</f>
        <v>ALG8</v>
      </c>
      <c r="B549" t="s">
        <v>6</v>
      </c>
    </row>
    <row r="550" spans="1:2" x14ac:dyDescent="0.2">
      <c r="A550" t="str">
        <f>"ALG9"</f>
        <v>ALG9</v>
      </c>
      <c r="B550" t="s">
        <v>6</v>
      </c>
    </row>
    <row r="551" spans="1:2" x14ac:dyDescent="0.2">
      <c r="A551" t="str">
        <f>"ALK"</f>
        <v>ALK</v>
      </c>
      <c r="B551" t="s">
        <v>7</v>
      </c>
    </row>
    <row r="552" spans="1:2" x14ac:dyDescent="0.2">
      <c r="A552" t="str">
        <f>"ALKBH1"</f>
        <v>ALKBH1</v>
      </c>
      <c r="B552" t="s">
        <v>6</v>
      </c>
    </row>
    <row r="553" spans="1:2" x14ac:dyDescent="0.2">
      <c r="A553" t="str">
        <f>"ALKBH2"</f>
        <v>ALKBH2</v>
      </c>
      <c r="B553" t="s">
        <v>3</v>
      </c>
    </row>
    <row r="554" spans="1:2" x14ac:dyDescent="0.2">
      <c r="A554" t="str">
        <f>"ALKBH3"</f>
        <v>ALKBH3</v>
      </c>
      <c r="B554" t="s">
        <v>3</v>
      </c>
    </row>
    <row r="555" spans="1:2" x14ac:dyDescent="0.2">
      <c r="A555" t="str">
        <f>"ALKBH4"</f>
        <v>ALKBH4</v>
      </c>
      <c r="B555" t="s">
        <v>6</v>
      </c>
    </row>
    <row r="556" spans="1:2" x14ac:dyDescent="0.2">
      <c r="A556" t="str">
        <f>"ALKBH5"</f>
        <v>ALKBH5</v>
      </c>
      <c r="B556" t="s">
        <v>5</v>
      </c>
    </row>
    <row r="557" spans="1:2" x14ac:dyDescent="0.2">
      <c r="A557" t="str">
        <f>"ALKBH6"</f>
        <v>ALKBH6</v>
      </c>
      <c r="B557" t="s">
        <v>4</v>
      </c>
    </row>
    <row r="558" spans="1:2" x14ac:dyDescent="0.2">
      <c r="A558" t="str">
        <f>"ALKBH7"</f>
        <v>ALKBH7</v>
      </c>
      <c r="B558" t="s">
        <v>6</v>
      </c>
    </row>
    <row r="559" spans="1:2" x14ac:dyDescent="0.2">
      <c r="A559" t="str">
        <f>"ALKBH8"</f>
        <v>ALKBH8</v>
      </c>
      <c r="B559" t="s">
        <v>8</v>
      </c>
    </row>
    <row r="560" spans="1:2" x14ac:dyDescent="0.2">
      <c r="A560" t="str">
        <f>"ALLC"</f>
        <v>ALLC</v>
      </c>
      <c r="B560" t="s">
        <v>7</v>
      </c>
    </row>
    <row r="561" spans="1:2" x14ac:dyDescent="0.2">
      <c r="A561" t="str">
        <f>"ALMS1"</f>
        <v>ALMS1</v>
      </c>
      <c r="B561" t="s">
        <v>3</v>
      </c>
    </row>
    <row r="562" spans="1:2" x14ac:dyDescent="0.2">
      <c r="A562" t="str">
        <f>"ALOX12"</f>
        <v>ALOX12</v>
      </c>
      <c r="B562" t="s">
        <v>3</v>
      </c>
    </row>
    <row r="563" spans="1:2" x14ac:dyDescent="0.2">
      <c r="A563" t="str">
        <f>"ALOX12B"</f>
        <v>ALOX12B</v>
      </c>
      <c r="B563" t="s">
        <v>2</v>
      </c>
    </row>
    <row r="564" spans="1:2" x14ac:dyDescent="0.2">
      <c r="A564" t="str">
        <f>"ALOX15"</f>
        <v>ALOX15</v>
      </c>
      <c r="B564" t="s">
        <v>3</v>
      </c>
    </row>
    <row r="565" spans="1:2" x14ac:dyDescent="0.2">
      <c r="A565" t="str">
        <f>"ALOX15B"</f>
        <v>ALOX15B</v>
      </c>
      <c r="B565" t="s">
        <v>3</v>
      </c>
    </row>
    <row r="566" spans="1:2" x14ac:dyDescent="0.2">
      <c r="A566" t="str">
        <f>"ALOX5"</f>
        <v>ALOX5</v>
      </c>
      <c r="B566" t="s">
        <v>7</v>
      </c>
    </row>
    <row r="567" spans="1:2" x14ac:dyDescent="0.2">
      <c r="A567" t="str">
        <f>"ALOX5AP"</f>
        <v>ALOX5AP</v>
      </c>
      <c r="B567" t="s">
        <v>5</v>
      </c>
    </row>
    <row r="568" spans="1:2" x14ac:dyDescent="0.2">
      <c r="A568" t="str">
        <f>"ALOXE3"</f>
        <v>ALOXE3</v>
      </c>
      <c r="B568" t="s">
        <v>4</v>
      </c>
    </row>
    <row r="569" spans="1:2" x14ac:dyDescent="0.2">
      <c r="A569" t="str">
        <f>"ALPI"</f>
        <v>ALPI</v>
      </c>
      <c r="B569" t="s">
        <v>7</v>
      </c>
    </row>
    <row r="570" spans="1:2" x14ac:dyDescent="0.2">
      <c r="A570" t="str">
        <f>"ALPK1"</f>
        <v>ALPK1</v>
      </c>
      <c r="B570" t="s">
        <v>7</v>
      </c>
    </row>
    <row r="571" spans="1:2" x14ac:dyDescent="0.2">
      <c r="A571" t="str">
        <f>"ALPK2"</f>
        <v>ALPK2</v>
      </c>
      <c r="B571" t="s">
        <v>7</v>
      </c>
    </row>
    <row r="572" spans="1:2" x14ac:dyDescent="0.2">
      <c r="A572" t="str">
        <f>"ALPK3"</f>
        <v>ALPK3</v>
      </c>
      <c r="B572" t="s">
        <v>7</v>
      </c>
    </row>
    <row r="573" spans="1:2" x14ac:dyDescent="0.2">
      <c r="A573" t="str">
        <f>"ALPL"</f>
        <v>ALPL</v>
      </c>
      <c r="B573" t="s">
        <v>7</v>
      </c>
    </row>
    <row r="574" spans="1:2" x14ac:dyDescent="0.2">
      <c r="A574" t="str">
        <f>"ALPP"</f>
        <v>ALPP</v>
      </c>
      <c r="B574" t="s">
        <v>3</v>
      </c>
    </row>
    <row r="575" spans="1:2" x14ac:dyDescent="0.2">
      <c r="A575" t="str">
        <f>"ALPPL2"</f>
        <v>ALPPL2</v>
      </c>
      <c r="B575" t="s">
        <v>7</v>
      </c>
    </row>
    <row r="576" spans="1:2" x14ac:dyDescent="0.2">
      <c r="A576" t="str">
        <f>"ALS2"</f>
        <v>ALS2</v>
      </c>
      <c r="B576" t="s">
        <v>3</v>
      </c>
    </row>
    <row r="577" spans="1:2" x14ac:dyDescent="0.2">
      <c r="A577" t="str">
        <f>"ALS2CL"</f>
        <v>ALS2CL</v>
      </c>
      <c r="B577" t="s">
        <v>2</v>
      </c>
    </row>
    <row r="578" spans="1:2" x14ac:dyDescent="0.2">
      <c r="A578" t="str">
        <f>"ALS2CR11"</f>
        <v>ALS2CR11</v>
      </c>
      <c r="B578" t="s">
        <v>4</v>
      </c>
    </row>
    <row r="579" spans="1:2" x14ac:dyDescent="0.2">
      <c r="A579" t="str">
        <f>"ALS2CR12"</f>
        <v>ALS2CR12</v>
      </c>
      <c r="B579" t="s">
        <v>4</v>
      </c>
    </row>
    <row r="580" spans="1:2" x14ac:dyDescent="0.2">
      <c r="A580" t="str">
        <f>"ALX1"</f>
        <v>ALX1</v>
      </c>
      <c r="B580" t="s">
        <v>8</v>
      </c>
    </row>
    <row r="581" spans="1:2" x14ac:dyDescent="0.2">
      <c r="A581" t="str">
        <f>"ALX3"</f>
        <v>ALX3</v>
      </c>
      <c r="B581" t="s">
        <v>8</v>
      </c>
    </row>
    <row r="582" spans="1:2" x14ac:dyDescent="0.2">
      <c r="A582" t="str">
        <f>"ALX4"</f>
        <v>ALX4</v>
      </c>
      <c r="B582" t="s">
        <v>8</v>
      </c>
    </row>
    <row r="583" spans="1:2" x14ac:dyDescent="0.2">
      <c r="A583" t="str">
        <f>"ALYREF"</f>
        <v>ALYREF</v>
      </c>
      <c r="B583" t="s">
        <v>8</v>
      </c>
    </row>
    <row r="584" spans="1:2" x14ac:dyDescent="0.2">
      <c r="A584" t="str">
        <f>"AMACR"</f>
        <v>AMACR</v>
      </c>
      <c r="B584" t="s">
        <v>2</v>
      </c>
    </row>
    <row r="585" spans="1:2" x14ac:dyDescent="0.2">
      <c r="A585" t="str">
        <f>"AMBN"</f>
        <v>AMBN</v>
      </c>
      <c r="B585" t="s">
        <v>4</v>
      </c>
    </row>
    <row r="586" spans="1:2" x14ac:dyDescent="0.2">
      <c r="A586" t="str">
        <f>"AMBP"</f>
        <v>AMBP</v>
      </c>
      <c r="B586" t="s">
        <v>3</v>
      </c>
    </row>
    <row r="587" spans="1:2" x14ac:dyDescent="0.2">
      <c r="A587" t="str">
        <f>"AMBRA1"</f>
        <v>AMBRA1</v>
      </c>
      <c r="B587" t="s">
        <v>2</v>
      </c>
    </row>
    <row r="588" spans="1:2" x14ac:dyDescent="0.2">
      <c r="A588" t="str">
        <f>"AMD1"</f>
        <v>AMD1</v>
      </c>
      <c r="B588" t="s">
        <v>3</v>
      </c>
    </row>
    <row r="589" spans="1:2" x14ac:dyDescent="0.2">
      <c r="A589" t="str">
        <f>"AMDHD1"</f>
        <v>AMDHD1</v>
      </c>
      <c r="B589" t="s">
        <v>2</v>
      </c>
    </row>
    <row r="590" spans="1:2" x14ac:dyDescent="0.2">
      <c r="A590" t="str">
        <f>"AMDHD2"</f>
        <v>AMDHD2</v>
      </c>
      <c r="B590" t="s">
        <v>4</v>
      </c>
    </row>
    <row r="591" spans="1:2" x14ac:dyDescent="0.2">
      <c r="A591" t="str">
        <f>"AMELX"</f>
        <v>AMELX</v>
      </c>
      <c r="B591" t="s">
        <v>2</v>
      </c>
    </row>
    <row r="592" spans="1:2" x14ac:dyDescent="0.2">
      <c r="A592" t="str">
        <f>"AMELY"</f>
        <v>AMELY</v>
      </c>
      <c r="B592" t="s">
        <v>4</v>
      </c>
    </row>
    <row r="593" spans="1:2" x14ac:dyDescent="0.2">
      <c r="A593" t="str">
        <f>"AMER1"</f>
        <v>AMER1</v>
      </c>
      <c r="B593" t="s">
        <v>3</v>
      </c>
    </row>
    <row r="594" spans="1:2" x14ac:dyDescent="0.2">
      <c r="A594" t="str">
        <f>"AMER2"</f>
        <v>AMER2</v>
      </c>
      <c r="B594" t="s">
        <v>3</v>
      </c>
    </row>
    <row r="595" spans="1:2" x14ac:dyDescent="0.2">
      <c r="A595" t="str">
        <f>"AMER3"</f>
        <v>AMER3</v>
      </c>
      <c r="B595" t="s">
        <v>4</v>
      </c>
    </row>
    <row r="596" spans="1:2" x14ac:dyDescent="0.2">
      <c r="A596" t="str">
        <f>"AMFR"</f>
        <v>AMFR</v>
      </c>
      <c r="B596" t="s">
        <v>3</v>
      </c>
    </row>
    <row r="597" spans="1:2" x14ac:dyDescent="0.2">
      <c r="A597" t="str">
        <f>"AMH"</f>
        <v>AMH</v>
      </c>
      <c r="B597" t="s">
        <v>3</v>
      </c>
    </row>
    <row r="598" spans="1:2" x14ac:dyDescent="0.2">
      <c r="A598" t="str">
        <f>"AMHR2"</f>
        <v>AMHR2</v>
      </c>
      <c r="B598" t="s">
        <v>7</v>
      </c>
    </row>
    <row r="599" spans="1:2" x14ac:dyDescent="0.2">
      <c r="A599" t="str">
        <f>"AMICA1"</f>
        <v>AMICA1</v>
      </c>
      <c r="B599" t="s">
        <v>5</v>
      </c>
    </row>
    <row r="600" spans="1:2" x14ac:dyDescent="0.2">
      <c r="A600" t="str">
        <f>"AMIGO1"</f>
        <v>AMIGO1</v>
      </c>
      <c r="B600" t="s">
        <v>5</v>
      </c>
    </row>
    <row r="601" spans="1:2" x14ac:dyDescent="0.2">
      <c r="A601" t="str">
        <f>"AMIGO2"</f>
        <v>AMIGO2</v>
      </c>
      <c r="B601" t="s">
        <v>5</v>
      </c>
    </row>
    <row r="602" spans="1:2" x14ac:dyDescent="0.2">
      <c r="A602" t="str">
        <f>"AMIGO3"</f>
        <v>AMIGO3</v>
      </c>
      <c r="B602" t="s">
        <v>4</v>
      </c>
    </row>
    <row r="603" spans="1:2" x14ac:dyDescent="0.2">
      <c r="A603" t="str">
        <f>"AMMECR1"</f>
        <v>AMMECR1</v>
      </c>
      <c r="B603" t="s">
        <v>4</v>
      </c>
    </row>
    <row r="604" spans="1:2" x14ac:dyDescent="0.2">
      <c r="A604" t="str">
        <f>"AMMECR1L"</f>
        <v>AMMECR1L</v>
      </c>
      <c r="B604" t="s">
        <v>4</v>
      </c>
    </row>
    <row r="605" spans="1:2" x14ac:dyDescent="0.2">
      <c r="A605" t="str">
        <f>"AMN"</f>
        <v>AMN</v>
      </c>
      <c r="B605" t="s">
        <v>7</v>
      </c>
    </row>
    <row r="606" spans="1:2" x14ac:dyDescent="0.2">
      <c r="A606" t="str">
        <f>"AMN1"</f>
        <v>AMN1</v>
      </c>
      <c r="B606" t="s">
        <v>4</v>
      </c>
    </row>
    <row r="607" spans="1:2" x14ac:dyDescent="0.2">
      <c r="A607" t="str">
        <f>"AMOT"</f>
        <v>AMOT</v>
      </c>
      <c r="B607" t="s">
        <v>4</v>
      </c>
    </row>
    <row r="608" spans="1:2" x14ac:dyDescent="0.2">
      <c r="A608" t="str">
        <f>"AMOTL1"</f>
        <v>AMOTL1</v>
      </c>
      <c r="B608" t="s">
        <v>4</v>
      </c>
    </row>
    <row r="609" spans="1:2" x14ac:dyDescent="0.2">
      <c r="A609" t="str">
        <f>"AMOTL2"</f>
        <v>AMOTL2</v>
      </c>
      <c r="B609" t="s">
        <v>6</v>
      </c>
    </row>
    <row r="610" spans="1:2" x14ac:dyDescent="0.2">
      <c r="A610" t="str">
        <f>"AMPD1"</f>
        <v>AMPD1</v>
      </c>
      <c r="B610" t="s">
        <v>3</v>
      </c>
    </row>
    <row r="611" spans="1:2" x14ac:dyDescent="0.2">
      <c r="A611" t="str">
        <f>"AMPD2"</f>
        <v>AMPD2</v>
      </c>
      <c r="B611" t="s">
        <v>3</v>
      </c>
    </row>
    <row r="612" spans="1:2" x14ac:dyDescent="0.2">
      <c r="A612" t="str">
        <f>"AMPD3"</f>
        <v>AMPD3</v>
      </c>
      <c r="B612" t="s">
        <v>3</v>
      </c>
    </row>
    <row r="613" spans="1:2" x14ac:dyDescent="0.2">
      <c r="A613" t="str">
        <f>"AMPH"</f>
        <v>AMPH</v>
      </c>
      <c r="B613" t="s">
        <v>6</v>
      </c>
    </row>
    <row r="614" spans="1:2" x14ac:dyDescent="0.2">
      <c r="A614" t="str">
        <f>"AMT"</f>
        <v>AMT</v>
      </c>
      <c r="B614" t="s">
        <v>7</v>
      </c>
    </row>
    <row r="615" spans="1:2" x14ac:dyDescent="0.2">
      <c r="A615" t="str">
        <f>"AMTN"</f>
        <v>AMTN</v>
      </c>
      <c r="B615" t="s">
        <v>4</v>
      </c>
    </row>
    <row r="616" spans="1:2" x14ac:dyDescent="0.2">
      <c r="A616" t="str">
        <f>"AMY1B"</f>
        <v>AMY1B</v>
      </c>
      <c r="B616" t="s">
        <v>4</v>
      </c>
    </row>
    <row r="617" spans="1:2" x14ac:dyDescent="0.2">
      <c r="A617" t="str">
        <f>"AMY2A"</f>
        <v>AMY2A</v>
      </c>
      <c r="B617" t="s">
        <v>7</v>
      </c>
    </row>
    <row r="618" spans="1:2" x14ac:dyDescent="0.2">
      <c r="A618" t="str">
        <f>"AMY2B"</f>
        <v>AMY2B</v>
      </c>
      <c r="B618" t="s">
        <v>7</v>
      </c>
    </row>
    <row r="619" spans="1:2" x14ac:dyDescent="0.2">
      <c r="A619" t="str">
        <f>"AMZ1"</f>
        <v>AMZ1</v>
      </c>
      <c r="B619" t="s">
        <v>2</v>
      </c>
    </row>
    <row r="620" spans="1:2" x14ac:dyDescent="0.2">
      <c r="A620" t="str">
        <f>"AMZ2"</f>
        <v>AMZ2</v>
      </c>
      <c r="B620" t="s">
        <v>2</v>
      </c>
    </row>
    <row r="621" spans="1:2" x14ac:dyDescent="0.2">
      <c r="A621" t="str">
        <f>"ANAPC1"</f>
        <v>ANAPC1</v>
      </c>
      <c r="B621" t="s">
        <v>3</v>
      </c>
    </row>
    <row r="622" spans="1:2" x14ac:dyDescent="0.2">
      <c r="A622" t="str">
        <f>"ANAPC10"</f>
        <v>ANAPC10</v>
      </c>
      <c r="B622" t="s">
        <v>3</v>
      </c>
    </row>
    <row r="623" spans="1:2" x14ac:dyDescent="0.2">
      <c r="A623" t="str">
        <f>"ANAPC11"</f>
        <v>ANAPC11</v>
      </c>
      <c r="B623" t="s">
        <v>3</v>
      </c>
    </row>
    <row r="624" spans="1:2" x14ac:dyDescent="0.2">
      <c r="A624" t="str">
        <f>"ANAPC13"</f>
        <v>ANAPC13</v>
      </c>
      <c r="B624" t="s">
        <v>3</v>
      </c>
    </row>
    <row r="625" spans="1:2" x14ac:dyDescent="0.2">
      <c r="A625" t="str">
        <f>"ANAPC15"</f>
        <v>ANAPC15</v>
      </c>
      <c r="B625" t="s">
        <v>4</v>
      </c>
    </row>
    <row r="626" spans="1:2" x14ac:dyDescent="0.2">
      <c r="A626" t="str">
        <f>"ANAPC16"</f>
        <v>ANAPC16</v>
      </c>
      <c r="B626" t="s">
        <v>4</v>
      </c>
    </row>
    <row r="627" spans="1:2" x14ac:dyDescent="0.2">
      <c r="A627" t="str">
        <f>"ANAPC2"</f>
        <v>ANAPC2</v>
      </c>
      <c r="B627" t="s">
        <v>3</v>
      </c>
    </row>
    <row r="628" spans="1:2" x14ac:dyDescent="0.2">
      <c r="A628" t="str">
        <f>"ANAPC4"</f>
        <v>ANAPC4</v>
      </c>
      <c r="B628" t="s">
        <v>3</v>
      </c>
    </row>
    <row r="629" spans="1:2" x14ac:dyDescent="0.2">
      <c r="A629" t="str">
        <f>"ANAPC5"</f>
        <v>ANAPC5</v>
      </c>
      <c r="B629" t="s">
        <v>3</v>
      </c>
    </row>
    <row r="630" spans="1:2" x14ac:dyDescent="0.2">
      <c r="A630" t="str">
        <f>"ANAPC7"</f>
        <v>ANAPC7</v>
      </c>
      <c r="B630" t="s">
        <v>3</v>
      </c>
    </row>
    <row r="631" spans="1:2" x14ac:dyDescent="0.2">
      <c r="A631" t="str">
        <f>"ANG"</f>
        <v>ANG</v>
      </c>
      <c r="B631" t="s">
        <v>3</v>
      </c>
    </row>
    <row r="632" spans="1:2" x14ac:dyDescent="0.2">
      <c r="A632" t="str">
        <f>"ANGEL1"</f>
        <v>ANGEL1</v>
      </c>
      <c r="B632" t="s">
        <v>3</v>
      </c>
    </row>
    <row r="633" spans="1:2" x14ac:dyDescent="0.2">
      <c r="A633" t="str">
        <f>"ANGEL2"</f>
        <v>ANGEL2</v>
      </c>
      <c r="B633" t="s">
        <v>4</v>
      </c>
    </row>
    <row r="634" spans="1:2" x14ac:dyDescent="0.2">
      <c r="A634" t="str">
        <f>"ANGPT1"</f>
        <v>ANGPT1</v>
      </c>
      <c r="B634" t="s">
        <v>3</v>
      </c>
    </row>
    <row r="635" spans="1:2" x14ac:dyDescent="0.2">
      <c r="A635" t="str">
        <f>"ANGPT2"</f>
        <v>ANGPT2</v>
      </c>
      <c r="B635" t="s">
        <v>3</v>
      </c>
    </row>
    <row r="636" spans="1:2" x14ac:dyDescent="0.2">
      <c r="A636" t="str">
        <f>"ANGPT4"</f>
        <v>ANGPT4</v>
      </c>
      <c r="B636" t="s">
        <v>4</v>
      </c>
    </row>
    <row r="637" spans="1:2" x14ac:dyDescent="0.2">
      <c r="A637" t="str">
        <f>"ANGPTL1"</f>
        <v>ANGPTL1</v>
      </c>
      <c r="B637" t="s">
        <v>3</v>
      </c>
    </row>
    <row r="638" spans="1:2" x14ac:dyDescent="0.2">
      <c r="A638" t="str">
        <f>"ANGPTL2"</f>
        <v>ANGPTL2</v>
      </c>
      <c r="B638" t="s">
        <v>4</v>
      </c>
    </row>
    <row r="639" spans="1:2" x14ac:dyDescent="0.2">
      <c r="A639" t="str">
        <f>"ANGPTL3"</f>
        <v>ANGPTL3</v>
      </c>
      <c r="B639" t="s">
        <v>2</v>
      </c>
    </row>
    <row r="640" spans="1:2" x14ac:dyDescent="0.2">
      <c r="A640" t="str">
        <f>"ANGPTL4"</f>
        <v>ANGPTL4</v>
      </c>
      <c r="B640" t="s">
        <v>6</v>
      </c>
    </row>
    <row r="641" spans="1:2" x14ac:dyDescent="0.2">
      <c r="A641" t="str">
        <f>"ANGPTL5"</f>
        <v>ANGPTL5</v>
      </c>
      <c r="B641" t="s">
        <v>4</v>
      </c>
    </row>
    <row r="642" spans="1:2" x14ac:dyDescent="0.2">
      <c r="A642" t="str">
        <f>"ANGPTL6"</f>
        <v>ANGPTL6</v>
      </c>
      <c r="B642" t="s">
        <v>6</v>
      </c>
    </row>
    <row r="643" spans="1:2" x14ac:dyDescent="0.2">
      <c r="A643" t="str">
        <f>"ANGPTL7"</f>
        <v>ANGPTL7</v>
      </c>
      <c r="B643" t="s">
        <v>4</v>
      </c>
    </row>
    <row r="644" spans="1:2" x14ac:dyDescent="0.2">
      <c r="A644" t="str">
        <f>"ANHX"</f>
        <v>ANHX</v>
      </c>
      <c r="B644" t="s">
        <v>4</v>
      </c>
    </row>
    <row r="645" spans="1:2" x14ac:dyDescent="0.2">
      <c r="A645" t="str">
        <f>"ANK1"</f>
        <v>ANK1</v>
      </c>
      <c r="B645" t="s">
        <v>2</v>
      </c>
    </row>
    <row r="646" spans="1:2" x14ac:dyDescent="0.2">
      <c r="A646" t="str">
        <f>"ANK2"</f>
        <v>ANK2</v>
      </c>
      <c r="B646" t="s">
        <v>6</v>
      </c>
    </row>
    <row r="647" spans="1:2" x14ac:dyDescent="0.2">
      <c r="A647" t="str">
        <f>"ANK3"</f>
        <v>ANK3</v>
      </c>
      <c r="B647" t="s">
        <v>2</v>
      </c>
    </row>
    <row r="648" spans="1:2" x14ac:dyDescent="0.2">
      <c r="A648" t="str">
        <f>"ANKAR"</f>
        <v>ANKAR</v>
      </c>
      <c r="B648" t="s">
        <v>8</v>
      </c>
    </row>
    <row r="649" spans="1:2" x14ac:dyDescent="0.2">
      <c r="A649" t="str">
        <f>"ANKDD1A"</f>
        <v>ANKDD1A</v>
      </c>
      <c r="B649" t="s">
        <v>4</v>
      </c>
    </row>
    <row r="650" spans="1:2" x14ac:dyDescent="0.2">
      <c r="A650" t="str">
        <f>"ANKDD1B"</f>
        <v>ANKDD1B</v>
      </c>
      <c r="B650" t="s">
        <v>4</v>
      </c>
    </row>
    <row r="651" spans="1:2" x14ac:dyDescent="0.2">
      <c r="A651" t="str">
        <f>"ANKEF1"</f>
        <v>ANKEF1</v>
      </c>
      <c r="B651" t="s">
        <v>8</v>
      </c>
    </row>
    <row r="652" spans="1:2" x14ac:dyDescent="0.2">
      <c r="A652" t="str">
        <f>"ANKFN1"</f>
        <v>ANKFN1</v>
      </c>
      <c r="B652" t="s">
        <v>4</v>
      </c>
    </row>
    <row r="653" spans="1:2" x14ac:dyDescent="0.2">
      <c r="A653" t="str">
        <f>"ANKFY1"</f>
        <v>ANKFY1</v>
      </c>
      <c r="B653" t="s">
        <v>6</v>
      </c>
    </row>
    <row r="654" spans="1:2" x14ac:dyDescent="0.2">
      <c r="A654" t="str">
        <f>"ANKH"</f>
        <v>ANKH</v>
      </c>
      <c r="B654" t="s">
        <v>4</v>
      </c>
    </row>
    <row r="655" spans="1:2" x14ac:dyDescent="0.2">
      <c r="A655" t="str">
        <f>"ANKHD1"</f>
        <v>ANKHD1</v>
      </c>
      <c r="B655" t="s">
        <v>8</v>
      </c>
    </row>
    <row r="656" spans="1:2" x14ac:dyDescent="0.2">
      <c r="A656" t="str">
        <f>"ANKHD1-EIF4EBP3"</f>
        <v>ANKHD1-EIF4EBP3</v>
      </c>
      <c r="B656" t="s">
        <v>8</v>
      </c>
    </row>
    <row r="657" spans="1:2" x14ac:dyDescent="0.2">
      <c r="A657" t="str">
        <f>"ANKIB1"</f>
        <v>ANKIB1</v>
      </c>
      <c r="B657" t="s">
        <v>2</v>
      </c>
    </row>
    <row r="658" spans="1:2" x14ac:dyDescent="0.2">
      <c r="A658" t="str">
        <f>"ANKK1"</f>
        <v>ANKK1</v>
      </c>
      <c r="B658" t="s">
        <v>7</v>
      </c>
    </row>
    <row r="659" spans="1:2" x14ac:dyDescent="0.2">
      <c r="A659" t="str">
        <f>"ANKLE1"</f>
        <v>ANKLE1</v>
      </c>
      <c r="B659" t="s">
        <v>4</v>
      </c>
    </row>
    <row r="660" spans="1:2" x14ac:dyDescent="0.2">
      <c r="A660" t="str">
        <f>"ANKLE2"</f>
        <v>ANKLE2</v>
      </c>
      <c r="B660" t="s">
        <v>5</v>
      </c>
    </row>
    <row r="661" spans="1:2" x14ac:dyDescent="0.2">
      <c r="A661" t="str">
        <f>"ANKMY1"</f>
        <v>ANKMY1</v>
      </c>
      <c r="B661" t="s">
        <v>4</v>
      </c>
    </row>
    <row r="662" spans="1:2" x14ac:dyDescent="0.2">
      <c r="A662" t="str">
        <f>"ANKMY2"</f>
        <v>ANKMY2</v>
      </c>
      <c r="B662" t="s">
        <v>4</v>
      </c>
    </row>
    <row r="663" spans="1:2" x14ac:dyDescent="0.2">
      <c r="A663" t="str">
        <f>"ANKRA2"</f>
        <v>ANKRA2</v>
      </c>
      <c r="B663" t="s">
        <v>8</v>
      </c>
    </row>
    <row r="664" spans="1:2" x14ac:dyDescent="0.2">
      <c r="A664" t="str">
        <f>"ANKRD1"</f>
        <v>ANKRD1</v>
      </c>
      <c r="B664" t="s">
        <v>8</v>
      </c>
    </row>
    <row r="665" spans="1:2" x14ac:dyDescent="0.2">
      <c r="A665" t="str">
        <f>"ANKRD10"</f>
        <v>ANKRD10</v>
      </c>
      <c r="B665" t="s">
        <v>8</v>
      </c>
    </row>
    <row r="666" spans="1:2" x14ac:dyDescent="0.2">
      <c r="A666" t="str">
        <f>"ANKRD11"</f>
        <v>ANKRD11</v>
      </c>
      <c r="B666" t="s">
        <v>8</v>
      </c>
    </row>
    <row r="667" spans="1:2" x14ac:dyDescent="0.2">
      <c r="A667" t="str">
        <f>"ANKRD12"</f>
        <v>ANKRD12</v>
      </c>
      <c r="B667" t="s">
        <v>4</v>
      </c>
    </row>
    <row r="668" spans="1:2" x14ac:dyDescent="0.2">
      <c r="A668" t="str">
        <f>"ANKRD13A"</f>
        <v>ANKRD13A</v>
      </c>
      <c r="B668" t="s">
        <v>2</v>
      </c>
    </row>
    <row r="669" spans="1:2" x14ac:dyDescent="0.2">
      <c r="A669" t="str">
        <f>"ANKRD13B"</f>
        <v>ANKRD13B</v>
      </c>
      <c r="B669" t="s">
        <v>2</v>
      </c>
    </row>
    <row r="670" spans="1:2" x14ac:dyDescent="0.2">
      <c r="A670" t="str">
        <f>"ANKRD13C"</f>
        <v>ANKRD13C</v>
      </c>
      <c r="B670" t="s">
        <v>6</v>
      </c>
    </row>
    <row r="671" spans="1:2" x14ac:dyDescent="0.2">
      <c r="A671" t="str">
        <f>"ANKRD13D"</f>
        <v>ANKRD13D</v>
      </c>
      <c r="B671" t="s">
        <v>2</v>
      </c>
    </row>
    <row r="672" spans="1:2" x14ac:dyDescent="0.2">
      <c r="A672" t="str">
        <f>"ANKRD16"</f>
        <v>ANKRD16</v>
      </c>
      <c r="B672" t="s">
        <v>8</v>
      </c>
    </row>
    <row r="673" spans="1:2" x14ac:dyDescent="0.2">
      <c r="A673" t="str">
        <f>"ANKRD17"</f>
        <v>ANKRD17</v>
      </c>
      <c r="B673" t="s">
        <v>8</v>
      </c>
    </row>
    <row r="674" spans="1:2" x14ac:dyDescent="0.2">
      <c r="A674" t="str">
        <f>"ANKRD18A"</f>
        <v>ANKRD18A</v>
      </c>
      <c r="B674" t="s">
        <v>4</v>
      </c>
    </row>
    <row r="675" spans="1:2" x14ac:dyDescent="0.2">
      <c r="A675" t="str">
        <f>"ANKRD18B"</f>
        <v>ANKRD18B</v>
      </c>
      <c r="B675" t="s">
        <v>4</v>
      </c>
    </row>
    <row r="676" spans="1:2" x14ac:dyDescent="0.2">
      <c r="A676" t="str">
        <f>"ANKRD2"</f>
        <v>ANKRD2</v>
      </c>
      <c r="B676" t="s">
        <v>4</v>
      </c>
    </row>
    <row r="677" spans="1:2" x14ac:dyDescent="0.2">
      <c r="A677" t="str">
        <f>"ANKRD22"</f>
        <v>ANKRD22</v>
      </c>
      <c r="B677" t="s">
        <v>8</v>
      </c>
    </row>
    <row r="678" spans="1:2" x14ac:dyDescent="0.2">
      <c r="A678" t="str">
        <f>"ANKRD23"</f>
        <v>ANKRD23</v>
      </c>
      <c r="B678" t="s">
        <v>4</v>
      </c>
    </row>
    <row r="679" spans="1:2" x14ac:dyDescent="0.2">
      <c r="A679" t="str">
        <f>"ANKRD24"</f>
        <v>ANKRD24</v>
      </c>
      <c r="B679" t="s">
        <v>4</v>
      </c>
    </row>
    <row r="680" spans="1:2" x14ac:dyDescent="0.2">
      <c r="A680" t="str">
        <f>"ANKRD26"</f>
        <v>ANKRD26</v>
      </c>
      <c r="B680" t="s">
        <v>6</v>
      </c>
    </row>
    <row r="681" spans="1:2" x14ac:dyDescent="0.2">
      <c r="A681" t="str">
        <f>"ANKRD27"</f>
        <v>ANKRD27</v>
      </c>
      <c r="B681" t="s">
        <v>2</v>
      </c>
    </row>
    <row r="682" spans="1:2" x14ac:dyDescent="0.2">
      <c r="A682" t="str">
        <f>"ANKRD28"</f>
        <v>ANKRD28</v>
      </c>
      <c r="B682" t="s">
        <v>4</v>
      </c>
    </row>
    <row r="683" spans="1:2" x14ac:dyDescent="0.2">
      <c r="A683" t="str">
        <f>"ANKRD29"</f>
        <v>ANKRD29</v>
      </c>
      <c r="B683" t="s">
        <v>5</v>
      </c>
    </row>
    <row r="684" spans="1:2" x14ac:dyDescent="0.2">
      <c r="A684" t="str">
        <f>"ANKRD30A"</f>
        <v>ANKRD30A</v>
      </c>
      <c r="B684" t="s">
        <v>2</v>
      </c>
    </row>
    <row r="685" spans="1:2" x14ac:dyDescent="0.2">
      <c r="A685" t="str">
        <f>"ANKRD30B"</f>
        <v>ANKRD30B</v>
      </c>
      <c r="B685" t="s">
        <v>4</v>
      </c>
    </row>
    <row r="686" spans="1:2" x14ac:dyDescent="0.2">
      <c r="A686" t="str">
        <f>"ANKRD31"</f>
        <v>ANKRD31</v>
      </c>
      <c r="B686" t="s">
        <v>4</v>
      </c>
    </row>
    <row r="687" spans="1:2" x14ac:dyDescent="0.2">
      <c r="A687" t="str">
        <f>"ANKRD32"</f>
        <v>ANKRD32</v>
      </c>
      <c r="B687" t="s">
        <v>8</v>
      </c>
    </row>
    <row r="688" spans="1:2" x14ac:dyDescent="0.2">
      <c r="A688" t="str">
        <f>"ANKRD33"</f>
        <v>ANKRD33</v>
      </c>
      <c r="B688" t="s">
        <v>8</v>
      </c>
    </row>
    <row r="689" spans="1:2" x14ac:dyDescent="0.2">
      <c r="A689" t="str">
        <f>"ANKRD33B"</f>
        <v>ANKRD33B</v>
      </c>
      <c r="B689" t="s">
        <v>8</v>
      </c>
    </row>
    <row r="690" spans="1:2" x14ac:dyDescent="0.2">
      <c r="A690" t="str">
        <f>"ANKRD34A"</f>
        <v>ANKRD34A</v>
      </c>
      <c r="B690" t="s">
        <v>4</v>
      </c>
    </row>
    <row r="691" spans="1:2" x14ac:dyDescent="0.2">
      <c r="A691" t="str">
        <f>"ANKRD34B"</f>
        <v>ANKRD34B</v>
      </c>
      <c r="B691" t="s">
        <v>8</v>
      </c>
    </row>
    <row r="692" spans="1:2" x14ac:dyDescent="0.2">
      <c r="A692" t="str">
        <f>"ANKRD34C"</f>
        <v>ANKRD34C</v>
      </c>
      <c r="B692" t="s">
        <v>4</v>
      </c>
    </row>
    <row r="693" spans="1:2" x14ac:dyDescent="0.2">
      <c r="A693" t="str">
        <f>"ANKRD35"</f>
        <v>ANKRD35</v>
      </c>
      <c r="B693" t="s">
        <v>8</v>
      </c>
    </row>
    <row r="694" spans="1:2" x14ac:dyDescent="0.2">
      <c r="A694" t="str">
        <f>"ANKRD36"</f>
        <v>ANKRD36</v>
      </c>
      <c r="B694" t="s">
        <v>4</v>
      </c>
    </row>
    <row r="695" spans="1:2" x14ac:dyDescent="0.2">
      <c r="A695" t="str">
        <f>"ANKRD36C"</f>
        <v>ANKRD36C</v>
      </c>
      <c r="B695" t="s">
        <v>4</v>
      </c>
    </row>
    <row r="696" spans="1:2" x14ac:dyDescent="0.2">
      <c r="A696" t="str">
        <f>"ANKRD37"</f>
        <v>ANKRD37</v>
      </c>
      <c r="B696" t="s">
        <v>4</v>
      </c>
    </row>
    <row r="697" spans="1:2" x14ac:dyDescent="0.2">
      <c r="A697" t="str">
        <f>"ANKRD39"</f>
        <v>ANKRD39</v>
      </c>
      <c r="B697" t="s">
        <v>4</v>
      </c>
    </row>
    <row r="698" spans="1:2" x14ac:dyDescent="0.2">
      <c r="A698" t="str">
        <f>"ANKRD40"</f>
        <v>ANKRD40</v>
      </c>
      <c r="B698" t="s">
        <v>4</v>
      </c>
    </row>
    <row r="699" spans="1:2" x14ac:dyDescent="0.2">
      <c r="A699" t="str">
        <f>"ANKRD42"</f>
        <v>ANKRD42</v>
      </c>
      <c r="B699" t="s">
        <v>8</v>
      </c>
    </row>
    <row r="700" spans="1:2" x14ac:dyDescent="0.2">
      <c r="A700" t="str">
        <f>"ANKRD44"</f>
        <v>ANKRD44</v>
      </c>
      <c r="B700" t="s">
        <v>8</v>
      </c>
    </row>
    <row r="701" spans="1:2" x14ac:dyDescent="0.2">
      <c r="A701" t="str">
        <f>"ANKRD45"</f>
        <v>ANKRD45</v>
      </c>
      <c r="B701" t="s">
        <v>8</v>
      </c>
    </row>
    <row r="702" spans="1:2" x14ac:dyDescent="0.2">
      <c r="A702" t="str">
        <f>"ANKRD46"</f>
        <v>ANKRD46</v>
      </c>
      <c r="B702" t="s">
        <v>8</v>
      </c>
    </row>
    <row r="703" spans="1:2" x14ac:dyDescent="0.2">
      <c r="A703" t="str">
        <f>"ANKRD49"</f>
        <v>ANKRD49</v>
      </c>
      <c r="B703" t="s">
        <v>8</v>
      </c>
    </row>
    <row r="704" spans="1:2" x14ac:dyDescent="0.2">
      <c r="A704" t="str">
        <f>"ANKRD50"</f>
        <v>ANKRD50</v>
      </c>
      <c r="B704" t="s">
        <v>4</v>
      </c>
    </row>
    <row r="705" spans="1:2" x14ac:dyDescent="0.2">
      <c r="A705" t="str">
        <f>"ANKRD52"</f>
        <v>ANKRD52</v>
      </c>
      <c r="B705" t="s">
        <v>4</v>
      </c>
    </row>
    <row r="706" spans="1:2" x14ac:dyDescent="0.2">
      <c r="A706" t="str">
        <f>"ANKRD53"</f>
        <v>ANKRD53</v>
      </c>
      <c r="B706" t="s">
        <v>4</v>
      </c>
    </row>
    <row r="707" spans="1:2" x14ac:dyDescent="0.2">
      <c r="A707" t="str">
        <f>"ANKRD54"</f>
        <v>ANKRD54</v>
      </c>
      <c r="B707" t="s">
        <v>8</v>
      </c>
    </row>
    <row r="708" spans="1:2" x14ac:dyDescent="0.2">
      <c r="A708" t="str">
        <f>"ANKRD55"</f>
        <v>ANKRD55</v>
      </c>
      <c r="B708" t="s">
        <v>8</v>
      </c>
    </row>
    <row r="709" spans="1:2" x14ac:dyDescent="0.2">
      <c r="A709" t="str">
        <f>"ANKRD6"</f>
        <v>ANKRD6</v>
      </c>
      <c r="B709" t="s">
        <v>8</v>
      </c>
    </row>
    <row r="710" spans="1:2" x14ac:dyDescent="0.2">
      <c r="A710" t="str">
        <f>"ANKRD60"</f>
        <v>ANKRD60</v>
      </c>
      <c r="B710" t="s">
        <v>2</v>
      </c>
    </row>
    <row r="711" spans="1:2" x14ac:dyDescent="0.2">
      <c r="A711" t="str">
        <f>"ANKRD61"</f>
        <v>ANKRD61</v>
      </c>
      <c r="B711" t="s">
        <v>4</v>
      </c>
    </row>
    <row r="712" spans="1:2" x14ac:dyDescent="0.2">
      <c r="A712" t="str">
        <f>"ANKRD62"</f>
        <v>ANKRD62</v>
      </c>
      <c r="B712" t="s">
        <v>4</v>
      </c>
    </row>
    <row r="713" spans="1:2" x14ac:dyDescent="0.2">
      <c r="A713" t="str">
        <f>"ANKRD63"</f>
        <v>ANKRD63</v>
      </c>
      <c r="B713" t="s">
        <v>4</v>
      </c>
    </row>
    <row r="714" spans="1:2" x14ac:dyDescent="0.2">
      <c r="A714" t="str">
        <f>"ANKRD65"</f>
        <v>ANKRD65</v>
      </c>
      <c r="B714" t="s">
        <v>4</v>
      </c>
    </row>
    <row r="715" spans="1:2" x14ac:dyDescent="0.2">
      <c r="A715" t="str">
        <f>"ANKRD66"</f>
        <v>ANKRD66</v>
      </c>
      <c r="B715" t="s">
        <v>4</v>
      </c>
    </row>
    <row r="716" spans="1:2" x14ac:dyDescent="0.2">
      <c r="A716" t="str">
        <f>"ANKRD7"</f>
        <v>ANKRD7</v>
      </c>
      <c r="B716" t="s">
        <v>8</v>
      </c>
    </row>
    <row r="717" spans="1:2" x14ac:dyDescent="0.2">
      <c r="A717" t="str">
        <f>"ANKRD9"</f>
        <v>ANKRD9</v>
      </c>
      <c r="B717" t="s">
        <v>4</v>
      </c>
    </row>
    <row r="718" spans="1:2" x14ac:dyDescent="0.2">
      <c r="A718" t="str">
        <f>"ANKS1A"</f>
        <v>ANKS1A</v>
      </c>
      <c r="B718" t="s">
        <v>4</v>
      </c>
    </row>
    <row r="719" spans="1:2" x14ac:dyDescent="0.2">
      <c r="A719" t="str">
        <f>"ANKS1B"</f>
        <v>ANKS1B</v>
      </c>
      <c r="B719" t="s">
        <v>8</v>
      </c>
    </row>
    <row r="720" spans="1:2" x14ac:dyDescent="0.2">
      <c r="A720" t="str">
        <f>"ANKS3"</f>
        <v>ANKS3</v>
      </c>
      <c r="B720" t="s">
        <v>8</v>
      </c>
    </row>
    <row r="721" spans="1:2" x14ac:dyDescent="0.2">
      <c r="A721" t="str">
        <f>"ANKS4B"</f>
        <v>ANKS4B</v>
      </c>
      <c r="B721" t="s">
        <v>4</v>
      </c>
    </row>
    <row r="722" spans="1:2" x14ac:dyDescent="0.2">
      <c r="A722" t="str">
        <f>"ANKS6"</f>
        <v>ANKS6</v>
      </c>
      <c r="B722" t="s">
        <v>4</v>
      </c>
    </row>
    <row r="723" spans="1:2" x14ac:dyDescent="0.2">
      <c r="A723" t="str">
        <f>"ANKUB1"</f>
        <v>ANKUB1</v>
      </c>
      <c r="B723" t="s">
        <v>4</v>
      </c>
    </row>
    <row r="724" spans="1:2" x14ac:dyDescent="0.2">
      <c r="A724" t="str">
        <f>"ANKZF1"</f>
        <v>ANKZF1</v>
      </c>
      <c r="B724" t="s">
        <v>8</v>
      </c>
    </row>
    <row r="725" spans="1:2" x14ac:dyDescent="0.2">
      <c r="A725" t="str">
        <f>"ANLN"</f>
        <v>ANLN</v>
      </c>
      <c r="B725" t="s">
        <v>3</v>
      </c>
    </row>
    <row r="726" spans="1:2" x14ac:dyDescent="0.2">
      <c r="A726" t="str">
        <f>"ANO1"</f>
        <v>ANO1</v>
      </c>
      <c r="B726" t="s">
        <v>4</v>
      </c>
    </row>
    <row r="727" spans="1:2" x14ac:dyDescent="0.2">
      <c r="A727" t="str">
        <f>"ANO10"</f>
        <v>ANO10</v>
      </c>
      <c r="B727" t="s">
        <v>6</v>
      </c>
    </row>
    <row r="728" spans="1:2" x14ac:dyDescent="0.2">
      <c r="A728" t="str">
        <f>"ANO2"</f>
        <v>ANO2</v>
      </c>
      <c r="B728" t="s">
        <v>5</v>
      </c>
    </row>
    <row r="729" spans="1:2" x14ac:dyDescent="0.2">
      <c r="A729" t="str">
        <f>"ANO3"</f>
        <v>ANO3</v>
      </c>
      <c r="B729" t="s">
        <v>3</v>
      </c>
    </row>
    <row r="730" spans="1:2" x14ac:dyDescent="0.2">
      <c r="A730" t="str">
        <f>"ANO4"</f>
        <v>ANO4</v>
      </c>
      <c r="B730" t="s">
        <v>4</v>
      </c>
    </row>
    <row r="731" spans="1:2" x14ac:dyDescent="0.2">
      <c r="A731" t="str">
        <f>"ANO5"</f>
        <v>ANO5</v>
      </c>
      <c r="B731" t="s">
        <v>2</v>
      </c>
    </row>
    <row r="732" spans="1:2" x14ac:dyDescent="0.2">
      <c r="A732" t="str">
        <f>"ANO6"</f>
        <v>ANO6</v>
      </c>
      <c r="B732" t="s">
        <v>5</v>
      </c>
    </row>
    <row r="733" spans="1:2" x14ac:dyDescent="0.2">
      <c r="A733" t="str">
        <f>"ANO7"</f>
        <v>ANO7</v>
      </c>
      <c r="B733" t="s">
        <v>5</v>
      </c>
    </row>
    <row r="734" spans="1:2" x14ac:dyDescent="0.2">
      <c r="A734" t="str">
        <f>"ANO8"</f>
        <v>ANO8</v>
      </c>
      <c r="B734" t="s">
        <v>4</v>
      </c>
    </row>
    <row r="735" spans="1:2" x14ac:dyDescent="0.2">
      <c r="A735" t="str">
        <f>"ANO9"</f>
        <v>ANO9</v>
      </c>
      <c r="B735" t="s">
        <v>5</v>
      </c>
    </row>
    <row r="736" spans="1:2" x14ac:dyDescent="0.2">
      <c r="A736" t="str">
        <f>"ANP32A"</f>
        <v>ANP32A</v>
      </c>
      <c r="B736" t="s">
        <v>6</v>
      </c>
    </row>
    <row r="737" spans="1:2" x14ac:dyDescent="0.2">
      <c r="A737" t="str">
        <f>"ANP32B"</f>
        <v>ANP32B</v>
      </c>
      <c r="B737" t="s">
        <v>3</v>
      </c>
    </row>
    <row r="738" spans="1:2" x14ac:dyDescent="0.2">
      <c r="A738" t="str">
        <f>"ANP32D"</f>
        <v>ANP32D</v>
      </c>
      <c r="B738" t="s">
        <v>4</v>
      </c>
    </row>
    <row r="739" spans="1:2" x14ac:dyDescent="0.2">
      <c r="A739" t="str">
        <f>"ANP32E"</f>
        <v>ANP32E</v>
      </c>
      <c r="B739" t="s">
        <v>6</v>
      </c>
    </row>
    <row r="740" spans="1:2" x14ac:dyDescent="0.2">
      <c r="A740" t="str">
        <f>"ANPEP"</f>
        <v>ANPEP</v>
      </c>
      <c r="B740" t="s">
        <v>3</v>
      </c>
    </row>
    <row r="741" spans="1:2" x14ac:dyDescent="0.2">
      <c r="A741" t="str">
        <f>"ANTXR1"</f>
        <v>ANTXR1</v>
      </c>
      <c r="B741" t="s">
        <v>5</v>
      </c>
    </row>
    <row r="742" spans="1:2" x14ac:dyDescent="0.2">
      <c r="A742" t="str">
        <f>"ANTXR2"</f>
        <v>ANTXR2</v>
      </c>
      <c r="B742" t="s">
        <v>2</v>
      </c>
    </row>
    <row r="743" spans="1:2" x14ac:dyDescent="0.2">
      <c r="A743" t="str">
        <f>"ANXA1"</f>
        <v>ANXA1</v>
      </c>
      <c r="B743" t="s">
        <v>3</v>
      </c>
    </row>
    <row r="744" spans="1:2" x14ac:dyDescent="0.2">
      <c r="A744" t="str">
        <f>"ANXA10"</f>
        <v>ANXA10</v>
      </c>
      <c r="B744" t="s">
        <v>6</v>
      </c>
    </row>
    <row r="745" spans="1:2" x14ac:dyDescent="0.2">
      <c r="A745" t="str">
        <f>"ANXA11"</f>
        <v>ANXA11</v>
      </c>
      <c r="B745" t="s">
        <v>2</v>
      </c>
    </row>
    <row r="746" spans="1:2" x14ac:dyDescent="0.2">
      <c r="A746" t="str">
        <f>"ANXA13"</f>
        <v>ANXA13</v>
      </c>
      <c r="B746" t="s">
        <v>4</v>
      </c>
    </row>
    <row r="747" spans="1:2" x14ac:dyDescent="0.2">
      <c r="A747" t="str">
        <f>"ANXA2"</f>
        <v>ANXA2</v>
      </c>
      <c r="B747" t="s">
        <v>7</v>
      </c>
    </row>
    <row r="748" spans="1:2" x14ac:dyDescent="0.2">
      <c r="A748" t="str">
        <f>"ANXA2R"</f>
        <v>ANXA2R</v>
      </c>
      <c r="B748" t="s">
        <v>4</v>
      </c>
    </row>
    <row r="749" spans="1:2" x14ac:dyDescent="0.2">
      <c r="A749" t="str">
        <f>"ANXA3"</f>
        <v>ANXA3</v>
      </c>
      <c r="B749" t="s">
        <v>7</v>
      </c>
    </row>
    <row r="750" spans="1:2" x14ac:dyDescent="0.2">
      <c r="A750" t="str">
        <f>"ANXA4"</f>
        <v>ANXA4</v>
      </c>
      <c r="B750" t="s">
        <v>3</v>
      </c>
    </row>
    <row r="751" spans="1:2" x14ac:dyDescent="0.2">
      <c r="A751" t="str">
        <f>"ANXA5"</f>
        <v>ANXA5</v>
      </c>
      <c r="B751" t="s">
        <v>7</v>
      </c>
    </row>
    <row r="752" spans="1:2" x14ac:dyDescent="0.2">
      <c r="A752" t="str">
        <f>"ANXA6"</f>
        <v>ANXA6</v>
      </c>
      <c r="B752" t="s">
        <v>2</v>
      </c>
    </row>
    <row r="753" spans="1:2" x14ac:dyDescent="0.2">
      <c r="A753" t="str">
        <f>"ANXA7"</f>
        <v>ANXA7</v>
      </c>
      <c r="B753" t="s">
        <v>2</v>
      </c>
    </row>
    <row r="754" spans="1:2" x14ac:dyDescent="0.2">
      <c r="A754" t="str">
        <f>"ANXA8"</f>
        <v>ANXA8</v>
      </c>
      <c r="B754" t="s">
        <v>3</v>
      </c>
    </row>
    <row r="755" spans="1:2" x14ac:dyDescent="0.2">
      <c r="A755" t="str">
        <f>"ANXA8L1"</f>
        <v>ANXA8L1</v>
      </c>
      <c r="B755" t="s">
        <v>4</v>
      </c>
    </row>
    <row r="756" spans="1:2" x14ac:dyDescent="0.2">
      <c r="A756" t="str">
        <f>"ANXA9"</f>
        <v>ANXA9</v>
      </c>
      <c r="B756" t="s">
        <v>4</v>
      </c>
    </row>
    <row r="757" spans="1:2" x14ac:dyDescent="0.2">
      <c r="A757" t="str">
        <f>"AOAH"</f>
        <v>AOAH</v>
      </c>
      <c r="B757" t="s">
        <v>2</v>
      </c>
    </row>
    <row r="758" spans="1:2" x14ac:dyDescent="0.2">
      <c r="A758" t="str">
        <f>"AOC1"</f>
        <v>AOC1</v>
      </c>
      <c r="B758" t="s">
        <v>4</v>
      </c>
    </row>
    <row r="759" spans="1:2" x14ac:dyDescent="0.2">
      <c r="A759" t="str">
        <f>"AOC2"</f>
        <v>AOC2</v>
      </c>
      <c r="B759" t="s">
        <v>3</v>
      </c>
    </row>
    <row r="760" spans="1:2" x14ac:dyDescent="0.2">
      <c r="A760" t="str">
        <f>"AOC3"</f>
        <v>AOC3</v>
      </c>
      <c r="B760" t="s">
        <v>3</v>
      </c>
    </row>
    <row r="761" spans="1:2" x14ac:dyDescent="0.2">
      <c r="A761" t="str">
        <f>"AOX1"</f>
        <v>AOX1</v>
      </c>
      <c r="B761" t="s">
        <v>6</v>
      </c>
    </row>
    <row r="762" spans="1:2" x14ac:dyDescent="0.2">
      <c r="A762" t="str">
        <f>"AP1AR"</f>
        <v>AP1AR</v>
      </c>
      <c r="B762" t="s">
        <v>6</v>
      </c>
    </row>
    <row r="763" spans="1:2" x14ac:dyDescent="0.2">
      <c r="A763" t="str">
        <f>"AP1B1"</f>
        <v>AP1B1</v>
      </c>
      <c r="B763" t="s">
        <v>6</v>
      </c>
    </row>
    <row r="764" spans="1:2" x14ac:dyDescent="0.2">
      <c r="A764" t="str">
        <f>"AP1G1"</f>
        <v>AP1G1</v>
      </c>
      <c r="B764" t="s">
        <v>6</v>
      </c>
    </row>
    <row r="765" spans="1:2" x14ac:dyDescent="0.2">
      <c r="A765" t="str">
        <f>"AP1G2"</f>
        <v>AP1G2</v>
      </c>
      <c r="B765" t="s">
        <v>6</v>
      </c>
    </row>
    <row r="766" spans="1:2" x14ac:dyDescent="0.2">
      <c r="A766" t="str">
        <f>"AP1M1"</f>
        <v>AP1M1</v>
      </c>
      <c r="B766" t="s">
        <v>6</v>
      </c>
    </row>
    <row r="767" spans="1:2" x14ac:dyDescent="0.2">
      <c r="A767" t="str">
        <f>"AP1M2"</f>
        <v>AP1M2</v>
      </c>
      <c r="B767" t="s">
        <v>6</v>
      </c>
    </row>
    <row r="768" spans="1:2" x14ac:dyDescent="0.2">
      <c r="A768" t="str">
        <f>"AP1S1"</f>
        <v>AP1S1</v>
      </c>
      <c r="B768" t="s">
        <v>6</v>
      </c>
    </row>
    <row r="769" spans="1:2" x14ac:dyDescent="0.2">
      <c r="A769" t="str">
        <f>"AP1S2"</f>
        <v>AP1S2</v>
      </c>
      <c r="B769" t="s">
        <v>6</v>
      </c>
    </row>
    <row r="770" spans="1:2" x14ac:dyDescent="0.2">
      <c r="A770" t="str">
        <f>"AP1S3"</f>
        <v>AP1S3</v>
      </c>
      <c r="B770" t="s">
        <v>6</v>
      </c>
    </row>
    <row r="771" spans="1:2" x14ac:dyDescent="0.2">
      <c r="A771" t="str">
        <f>"AP2A1"</f>
        <v>AP2A1</v>
      </c>
      <c r="B771" t="s">
        <v>6</v>
      </c>
    </row>
    <row r="772" spans="1:2" x14ac:dyDescent="0.2">
      <c r="A772" t="str">
        <f>"AP2A2"</f>
        <v>AP2A2</v>
      </c>
      <c r="B772" t="s">
        <v>6</v>
      </c>
    </row>
    <row r="773" spans="1:2" x14ac:dyDescent="0.2">
      <c r="A773" t="str">
        <f>"AP2B1"</f>
        <v>AP2B1</v>
      </c>
      <c r="B773" t="s">
        <v>6</v>
      </c>
    </row>
    <row r="774" spans="1:2" x14ac:dyDescent="0.2">
      <c r="A774" t="str">
        <f>"AP2M1"</f>
        <v>AP2M1</v>
      </c>
      <c r="B774" t="s">
        <v>6</v>
      </c>
    </row>
    <row r="775" spans="1:2" x14ac:dyDescent="0.2">
      <c r="A775" t="str">
        <f>"AP2S1"</f>
        <v>AP2S1</v>
      </c>
      <c r="B775" t="s">
        <v>6</v>
      </c>
    </row>
    <row r="776" spans="1:2" x14ac:dyDescent="0.2">
      <c r="A776" t="str">
        <f>"AP3B1"</f>
        <v>AP3B1</v>
      </c>
      <c r="B776" t="s">
        <v>6</v>
      </c>
    </row>
    <row r="777" spans="1:2" x14ac:dyDescent="0.2">
      <c r="A777" t="str">
        <f>"AP3B2"</f>
        <v>AP3B2</v>
      </c>
      <c r="B777" t="s">
        <v>6</v>
      </c>
    </row>
    <row r="778" spans="1:2" x14ac:dyDescent="0.2">
      <c r="A778" t="str">
        <f>"AP3D1"</f>
        <v>AP3D1</v>
      </c>
      <c r="B778" t="s">
        <v>6</v>
      </c>
    </row>
    <row r="779" spans="1:2" x14ac:dyDescent="0.2">
      <c r="A779" t="str">
        <f>"AP3M1"</f>
        <v>AP3M1</v>
      </c>
      <c r="B779" t="s">
        <v>6</v>
      </c>
    </row>
    <row r="780" spans="1:2" x14ac:dyDescent="0.2">
      <c r="A780" t="str">
        <f>"AP3M2"</f>
        <v>AP3M2</v>
      </c>
      <c r="B780" t="s">
        <v>6</v>
      </c>
    </row>
    <row r="781" spans="1:2" x14ac:dyDescent="0.2">
      <c r="A781" t="str">
        <f>"AP3S1"</f>
        <v>AP3S1</v>
      </c>
      <c r="B781" t="s">
        <v>6</v>
      </c>
    </row>
    <row r="782" spans="1:2" x14ac:dyDescent="0.2">
      <c r="A782" t="str">
        <f>"AP3S2"</f>
        <v>AP3S2</v>
      </c>
      <c r="B782" t="s">
        <v>6</v>
      </c>
    </row>
    <row r="783" spans="1:2" x14ac:dyDescent="0.2">
      <c r="A783" t="str">
        <f>"AP4B1"</f>
        <v>AP4B1</v>
      </c>
      <c r="B783" t="s">
        <v>6</v>
      </c>
    </row>
    <row r="784" spans="1:2" x14ac:dyDescent="0.2">
      <c r="A784" t="str">
        <f>"AP4E1"</f>
        <v>AP4E1</v>
      </c>
      <c r="B784" t="s">
        <v>6</v>
      </c>
    </row>
    <row r="785" spans="1:2" x14ac:dyDescent="0.2">
      <c r="A785" t="str">
        <f>"AP4M1"</f>
        <v>AP4M1</v>
      </c>
      <c r="B785" t="s">
        <v>6</v>
      </c>
    </row>
    <row r="786" spans="1:2" x14ac:dyDescent="0.2">
      <c r="A786" t="str">
        <f>"AP4S1"</f>
        <v>AP4S1</v>
      </c>
      <c r="B786" t="s">
        <v>6</v>
      </c>
    </row>
    <row r="787" spans="1:2" x14ac:dyDescent="0.2">
      <c r="A787" t="str">
        <f>"AP5B1"</f>
        <v>AP5B1</v>
      </c>
      <c r="B787" t="s">
        <v>6</v>
      </c>
    </row>
    <row r="788" spans="1:2" x14ac:dyDescent="0.2">
      <c r="A788" t="str">
        <f>"AP5M1"</f>
        <v>AP5M1</v>
      </c>
      <c r="B788" t="s">
        <v>6</v>
      </c>
    </row>
    <row r="789" spans="1:2" x14ac:dyDescent="0.2">
      <c r="A789" t="str">
        <f>"AP5S1"</f>
        <v>AP5S1</v>
      </c>
      <c r="B789" t="s">
        <v>6</v>
      </c>
    </row>
    <row r="790" spans="1:2" x14ac:dyDescent="0.2">
      <c r="A790" t="str">
        <f>"AP5Z1"</f>
        <v>AP5Z1</v>
      </c>
      <c r="B790" t="s">
        <v>8</v>
      </c>
    </row>
    <row r="791" spans="1:2" x14ac:dyDescent="0.2">
      <c r="A791" t="str">
        <f>"APAF1"</f>
        <v>APAF1</v>
      </c>
      <c r="B791" t="s">
        <v>3</v>
      </c>
    </row>
    <row r="792" spans="1:2" x14ac:dyDescent="0.2">
      <c r="A792" t="str">
        <f>"APBA1"</f>
        <v>APBA1</v>
      </c>
      <c r="B792" t="s">
        <v>6</v>
      </c>
    </row>
    <row r="793" spans="1:2" x14ac:dyDescent="0.2">
      <c r="A793" t="str">
        <f>"APBA2"</f>
        <v>APBA2</v>
      </c>
      <c r="B793" t="s">
        <v>6</v>
      </c>
    </row>
    <row r="794" spans="1:2" x14ac:dyDescent="0.2">
      <c r="A794" t="str">
        <f>"APBA3"</f>
        <v>APBA3</v>
      </c>
      <c r="B794" t="s">
        <v>6</v>
      </c>
    </row>
    <row r="795" spans="1:2" x14ac:dyDescent="0.2">
      <c r="A795" t="str">
        <f>"APBB1"</f>
        <v>APBB1</v>
      </c>
      <c r="B795" t="s">
        <v>3</v>
      </c>
    </row>
    <row r="796" spans="1:2" x14ac:dyDescent="0.2">
      <c r="A796" t="str">
        <f>"APBB1IP"</f>
        <v>APBB1IP</v>
      </c>
      <c r="B796" t="s">
        <v>3</v>
      </c>
    </row>
    <row r="797" spans="1:2" x14ac:dyDescent="0.2">
      <c r="A797" t="str">
        <f>"APBB2"</f>
        <v>APBB2</v>
      </c>
      <c r="B797" t="s">
        <v>3</v>
      </c>
    </row>
    <row r="798" spans="1:2" x14ac:dyDescent="0.2">
      <c r="A798" t="str">
        <f>"APBB3"</f>
        <v>APBB3</v>
      </c>
      <c r="B798" t="s">
        <v>6</v>
      </c>
    </row>
    <row r="799" spans="1:2" x14ac:dyDescent="0.2">
      <c r="A799" t="str">
        <f>"APC"</f>
        <v>APC</v>
      </c>
      <c r="B799" t="s">
        <v>3</v>
      </c>
    </row>
    <row r="800" spans="1:2" x14ac:dyDescent="0.2">
      <c r="A800" t="str">
        <f>"APC2"</f>
        <v>APC2</v>
      </c>
      <c r="B800" t="s">
        <v>3</v>
      </c>
    </row>
    <row r="801" spans="1:2" x14ac:dyDescent="0.2">
      <c r="A801" t="str">
        <f>"APCDD1"</f>
        <v>APCDD1</v>
      </c>
      <c r="B801" t="s">
        <v>5</v>
      </c>
    </row>
    <row r="802" spans="1:2" x14ac:dyDescent="0.2">
      <c r="A802" t="str">
        <f>"APCDD1L"</f>
        <v>APCDD1L</v>
      </c>
      <c r="B802" t="s">
        <v>3</v>
      </c>
    </row>
    <row r="803" spans="1:2" x14ac:dyDescent="0.2">
      <c r="A803" t="str">
        <f>"APCS"</f>
        <v>APCS</v>
      </c>
      <c r="B803" t="s">
        <v>7</v>
      </c>
    </row>
    <row r="804" spans="1:2" x14ac:dyDescent="0.2">
      <c r="A804" t="str">
        <f>"APEH"</f>
        <v>APEH</v>
      </c>
      <c r="B804" t="s">
        <v>2</v>
      </c>
    </row>
    <row r="805" spans="1:2" x14ac:dyDescent="0.2">
      <c r="A805" t="str">
        <f>"APEX1"</f>
        <v>APEX1</v>
      </c>
      <c r="B805" t="s">
        <v>3</v>
      </c>
    </row>
    <row r="806" spans="1:2" x14ac:dyDescent="0.2">
      <c r="A806" t="str">
        <f>"APEX2"</f>
        <v>APEX2</v>
      </c>
      <c r="B806" t="s">
        <v>3</v>
      </c>
    </row>
    <row r="807" spans="1:2" x14ac:dyDescent="0.2">
      <c r="A807" t="str">
        <f>"APH1A"</f>
        <v>APH1A</v>
      </c>
      <c r="B807" t="s">
        <v>2</v>
      </c>
    </row>
    <row r="808" spans="1:2" x14ac:dyDescent="0.2">
      <c r="A808" t="str">
        <f>"APH1B"</f>
        <v>APH1B</v>
      </c>
      <c r="B808" t="s">
        <v>2</v>
      </c>
    </row>
    <row r="809" spans="1:2" x14ac:dyDescent="0.2">
      <c r="A809" t="str">
        <f>"API5"</f>
        <v>API5</v>
      </c>
      <c r="B809" t="s">
        <v>3</v>
      </c>
    </row>
    <row r="810" spans="1:2" x14ac:dyDescent="0.2">
      <c r="A810" t="str">
        <f>"APIP"</f>
        <v>APIP</v>
      </c>
      <c r="B810" t="s">
        <v>4</v>
      </c>
    </row>
    <row r="811" spans="1:2" x14ac:dyDescent="0.2">
      <c r="A811" t="str">
        <f>"APITD1"</f>
        <v>APITD1</v>
      </c>
      <c r="B811" t="s">
        <v>8</v>
      </c>
    </row>
    <row r="812" spans="1:2" x14ac:dyDescent="0.2">
      <c r="A812" t="str">
        <f>"APITD1-CORT"</f>
        <v>APITD1-CORT</v>
      </c>
      <c r="B812" t="s">
        <v>4</v>
      </c>
    </row>
    <row r="813" spans="1:2" x14ac:dyDescent="0.2">
      <c r="A813" t="str">
        <f>"APLF"</f>
        <v>APLF</v>
      </c>
      <c r="B813" t="s">
        <v>3</v>
      </c>
    </row>
    <row r="814" spans="1:2" x14ac:dyDescent="0.2">
      <c r="A814" t="str">
        <f>"APLN"</f>
        <v>APLN</v>
      </c>
      <c r="B814" t="s">
        <v>4</v>
      </c>
    </row>
    <row r="815" spans="1:2" x14ac:dyDescent="0.2">
      <c r="A815" t="str">
        <f>"APLNR"</f>
        <v>APLNR</v>
      </c>
      <c r="B815" t="s">
        <v>2</v>
      </c>
    </row>
    <row r="816" spans="1:2" x14ac:dyDescent="0.2">
      <c r="A816" t="str">
        <f>"APLP1"</f>
        <v>APLP1</v>
      </c>
      <c r="B816" t="s">
        <v>2</v>
      </c>
    </row>
    <row r="817" spans="1:2" x14ac:dyDescent="0.2">
      <c r="A817" t="str">
        <f>"APLP2"</f>
        <v>APLP2</v>
      </c>
      <c r="B817" t="s">
        <v>8</v>
      </c>
    </row>
    <row r="818" spans="1:2" x14ac:dyDescent="0.2">
      <c r="A818" t="str">
        <f>"APMAP"</f>
        <v>APMAP</v>
      </c>
      <c r="B818" t="s">
        <v>6</v>
      </c>
    </row>
    <row r="819" spans="1:2" x14ac:dyDescent="0.2">
      <c r="A819" t="str">
        <f>"APOA1"</f>
        <v>APOA1</v>
      </c>
      <c r="B819" t="s">
        <v>2</v>
      </c>
    </row>
    <row r="820" spans="1:2" x14ac:dyDescent="0.2">
      <c r="A820" t="str">
        <f>"APOA1BP"</f>
        <v>APOA1BP</v>
      </c>
      <c r="B820" t="s">
        <v>2</v>
      </c>
    </row>
    <row r="821" spans="1:2" x14ac:dyDescent="0.2">
      <c r="A821" t="str">
        <f>"APOA2"</f>
        <v>APOA2</v>
      </c>
      <c r="B821" t="s">
        <v>2</v>
      </c>
    </row>
    <row r="822" spans="1:2" x14ac:dyDescent="0.2">
      <c r="A822" t="str">
        <f>"APOA4"</f>
        <v>APOA4</v>
      </c>
      <c r="B822" t="s">
        <v>2</v>
      </c>
    </row>
    <row r="823" spans="1:2" x14ac:dyDescent="0.2">
      <c r="A823" t="str">
        <f>"APOA5"</f>
        <v>APOA5</v>
      </c>
      <c r="B823" t="s">
        <v>2</v>
      </c>
    </row>
    <row r="824" spans="1:2" x14ac:dyDescent="0.2">
      <c r="A824" t="str">
        <f>"APOB"</f>
        <v>APOB</v>
      </c>
      <c r="B824" t="s">
        <v>2</v>
      </c>
    </row>
    <row r="825" spans="1:2" x14ac:dyDescent="0.2">
      <c r="A825" t="str">
        <f>"APOBEC1"</f>
        <v>APOBEC1</v>
      </c>
      <c r="B825" t="s">
        <v>2</v>
      </c>
    </row>
    <row r="826" spans="1:2" x14ac:dyDescent="0.2">
      <c r="A826" t="str">
        <f>"APOBEC2"</f>
        <v>APOBEC2</v>
      </c>
      <c r="B826" t="s">
        <v>8</v>
      </c>
    </row>
    <row r="827" spans="1:2" x14ac:dyDescent="0.2">
      <c r="A827" t="str">
        <f>"APOBEC3A"</f>
        <v>APOBEC3A</v>
      </c>
      <c r="B827" t="s">
        <v>3</v>
      </c>
    </row>
    <row r="828" spans="1:2" x14ac:dyDescent="0.2">
      <c r="A828" t="str">
        <f>"APOBEC3A_B"</f>
        <v>APOBEC3A_B</v>
      </c>
      <c r="B828" t="s">
        <v>4</v>
      </c>
    </row>
    <row r="829" spans="1:2" x14ac:dyDescent="0.2">
      <c r="A829" t="str">
        <f>"APOBEC3B"</f>
        <v>APOBEC3B</v>
      </c>
      <c r="B829" t="s">
        <v>8</v>
      </c>
    </row>
    <row r="830" spans="1:2" x14ac:dyDescent="0.2">
      <c r="A830" t="str">
        <f>"APOBEC3C"</f>
        <v>APOBEC3C</v>
      </c>
      <c r="B830" t="s">
        <v>3</v>
      </c>
    </row>
    <row r="831" spans="1:2" x14ac:dyDescent="0.2">
      <c r="A831" t="str">
        <f>"APOBEC3D"</f>
        <v>APOBEC3D</v>
      </c>
      <c r="B831" t="s">
        <v>4</v>
      </c>
    </row>
    <row r="832" spans="1:2" x14ac:dyDescent="0.2">
      <c r="A832" t="str">
        <f>"APOBEC3F"</f>
        <v>APOBEC3F</v>
      </c>
      <c r="B832" t="s">
        <v>8</v>
      </c>
    </row>
    <row r="833" spans="1:2" x14ac:dyDescent="0.2">
      <c r="A833" t="str">
        <f>"APOBEC3G"</f>
        <v>APOBEC3G</v>
      </c>
      <c r="B833" t="s">
        <v>6</v>
      </c>
    </row>
    <row r="834" spans="1:2" x14ac:dyDescent="0.2">
      <c r="A834" t="str">
        <f>"APOBEC3H"</f>
        <v>APOBEC3H</v>
      </c>
      <c r="B834" t="s">
        <v>4</v>
      </c>
    </row>
    <row r="835" spans="1:2" x14ac:dyDescent="0.2">
      <c r="A835" t="str">
        <f>"APOBEC4"</f>
        <v>APOBEC4</v>
      </c>
      <c r="B835" t="s">
        <v>3</v>
      </c>
    </row>
    <row r="836" spans="1:2" x14ac:dyDescent="0.2">
      <c r="A836" t="str">
        <f>"APOBR"</f>
        <v>APOBR</v>
      </c>
      <c r="B836" t="s">
        <v>6</v>
      </c>
    </row>
    <row r="837" spans="1:2" x14ac:dyDescent="0.2">
      <c r="A837" t="str">
        <f>"APOC1"</f>
        <v>APOC1</v>
      </c>
      <c r="B837" t="s">
        <v>2</v>
      </c>
    </row>
    <row r="838" spans="1:2" x14ac:dyDescent="0.2">
      <c r="A838" t="str">
        <f>"APOC2"</f>
        <v>APOC2</v>
      </c>
      <c r="B838" t="s">
        <v>2</v>
      </c>
    </row>
    <row r="839" spans="1:2" x14ac:dyDescent="0.2">
      <c r="A839" t="str">
        <f>"APOC3"</f>
        <v>APOC3</v>
      </c>
      <c r="B839" t="s">
        <v>2</v>
      </c>
    </row>
    <row r="840" spans="1:2" x14ac:dyDescent="0.2">
      <c r="A840" t="str">
        <f>"APOC4"</f>
        <v>APOC4</v>
      </c>
      <c r="B840" t="s">
        <v>2</v>
      </c>
    </row>
    <row r="841" spans="1:2" x14ac:dyDescent="0.2">
      <c r="A841" t="str">
        <f>"APOD"</f>
        <v>APOD</v>
      </c>
      <c r="B841" t="s">
        <v>3</v>
      </c>
    </row>
    <row r="842" spans="1:2" x14ac:dyDescent="0.2">
      <c r="A842" t="str">
        <f>"APOE"</f>
        <v>APOE</v>
      </c>
      <c r="B842" t="s">
        <v>7</v>
      </c>
    </row>
    <row r="843" spans="1:2" x14ac:dyDescent="0.2">
      <c r="A843" t="str">
        <f>"APOF"</f>
        <v>APOF</v>
      </c>
      <c r="B843" t="s">
        <v>2</v>
      </c>
    </row>
    <row r="844" spans="1:2" x14ac:dyDescent="0.2">
      <c r="A844" t="str">
        <f>"APOH"</f>
        <v>APOH</v>
      </c>
      <c r="B844" t="s">
        <v>7</v>
      </c>
    </row>
    <row r="845" spans="1:2" x14ac:dyDescent="0.2">
      <c r="A845" t="str">
        <f>"APOL1"</f>
        <v>APOL1</v>
      </c>
      <c r="B845" t="s">
        <v>5</v>
      </c>
    </row>
    <row r="846" spans="1:2" x14ac:dyDescent="0.2">
      <c r="A846" t="str">
        <f>"APOL2"</f>
        <v>APOL2</v>
      </c>
      <c r="B846" t="s">
        <v>6</v>
      </c>
    </row>
    <row r="847" spans="1:2" x14ac:dyDescent="0.2">
      <c r="A847" t="str">
        <f>"APOL3"</f>
        <v>APOL3</v>
      </c>
      <c r="B847" t="s">
        <v>6</v>
      </c>
    </row>
    <row r="848" spans="1:2" x14ac:dyDescent="0.2">
      <c r="A848" t="str">
        <f>"APOL4"</f>
        <v>APOL4</v>
      </c>
      <c r="B848" t="s">
        <v>5</v>
      </c>
    </row>
    <row r="849" spans="1:2" x14ac:dyDescent="0.2">
      <c r="A849" t="str">
        <f>"APOL5"</f>
        <v>APOL5</v>
      </c>
      <c r="B849" t="s">
        <v>6</v>
      </c>
    </row>
    <row r="850" spans="1:2" x14ac:dyDescent="0.2">
      <c r="A850" t="str">
        <f>"APOL6"</f>
        <v>APOL6</v>
      </c>
      <c r="B850" t="s">
        <v>6</v>
      </c>
    </row>
    <row r="851" spans="1:2" x14ac:dyDescent="0.2">
      <c r="A851" t="str">
        <f>"APOLD1"</f>
        <v>APOLD1</v>
      </c>
      <c r="B851" t="s">
        <v>6</v>
      </c>
    </row>
    <row r="852" spans="1:2" x14ac:dyDescent="0.2">
      <c r="A852" t="str">
        <f>"APOM"</f>
        <v>APOM</v>
      </c>
      <c r="B852" t="s">
        <v>6</v>
      </c>
    </row>
    <row r="853" spans="1:2" x14ac:dyDescent="0.2">
      <c r="A853" t="str">
        <f>"APOO"</f>
        <v>APOO</v>
      </c>
      <c r="B853" t="s">
        <v>6</v>
      </c>
    </row>
    <row r="854" spans="1:2" x14ac:dyDescent="0.2">
      <c r="A854" t="str">
        <f>"APOOL"</f>
        <v>APOOL</v>
      </c>
      <c r="B854" t="s">
        <v>2</v>
      </c>
    </row>
    <row r="855" spans="1:2" x14ac:dyDescent="0.2">
      <c r="A855" t="str">
        <f>"APOPT1"</f>
        <v>APOPT1</v>
      </c>
      <c r="B855" t="s">
        <v>6</v>
      </c>
    </row>
    <row r="856" spans="1:2" x14ac:dyDescent="0.2">
      <c r="A856" t="str">
        <f>"APP"</f>
        <v>APP</v>
      </c>
      <c r="B856" t="s">
        <v>3</v>
      </c>
    </row>
    <row r="857" spans="1:2" x14ac:dyDescent="0.2">
      <c r="A857" t="str">
        <f>"APPBP2"</f>
        <v>APPBP2</v>
      </c>
      <c r="B857" t="s">
        <v>2</v>
      </c>
    </row>
    <row r="858" spans="1:2" x14ac:dyDescent="0.2">
      <c r="A858" t="str">
        <f>"APPL1"</f>
        <v>APPL1</v>
      </c>
      <c r="B858" t="s">
        <v>3</v>
      </c>
    </row>
    <row r="859" spans="1:2" x14ac:dyDescent="0.2">
      <c r="A859" t="str">
        <f>"APPL2"</f>
        <v>APPL2</v>
      </c>
      <c r="B859" t="s">
        <v>3</v>
      </c>
    </row>
    <row r="860" spans="1:2" x14ac:dyDescent="0.2">
      <c r="A860" t="str">
        <f>"APRT"</f>
        <v>APRT</v>
      </c>
      <c r="B860" t="s">
        <v>7</v>
      </c>
    </row>
    <row r="861" spans="1:2" x14ac:dyDescent="0.2">
      <c r="A861" t="str">
        <f>"APTX"</f>
        <v>APTX</v>
      </c>
      <c r="B861" t="s">
        <v>3</v>
      </c>
    </row>
    <row r="862" spans="1:2" x14ac:dyDescent="0.2">
      <c r="A862" t="str">
        <f>"AQP1"</f>
        <v>AQP1</v>
      </c>
      <c r="B862" t="s">
        <v>3</v>
      </c>
    </row>
    <row r="863" spans="1:2" x14ac:dyDescent="0.2">
      <c r="A863" t="str">
        <f>"AQP10"</f>
        <v>AQP10</v>
      </c>
      <c r="B863" t="s">
        <v>5</v>
      </c>
    </row>
    <row r="864" spans="1:2" x14ac:dyDescent="0.2">
      <c r="A864" t="str">
        <f>"AQP11"</f>
        <v>AQP11</v>
      </c>
      <c r="B864" t="s">
        <v>2</v>
      </c>
    </row>
    <row r="865" spans="1:2" x14ac:dyDescent="0.2">
      <c r="A865" t="str">
        <f>"AQP12A"</f>
        <v>AQP12A</v>
      </c>
      <c r="B865" t="s">
        <v>5</v>
      </c>
    </row>
    <row r="866" spans="1:2" x14ac:dyDescent="0.2">
      <c r="A866" t="str">
        <f>"AQP12B"</f>
        <v>AQP12B</v>
      </c>
      <c r="B866" t="s">
        <v>5</v>
      </c>
    </row>
    <row r="867" spans="1:2" x14ac:dyDescent="0.2">
      <c r="A867" t="str">
        <f>"AQP2"</f>
        <v>AQP2</v>
      </c>
      <c r="B867" t="s">
        <v>2</v>
      </c>
    </row>
    <row r="868" spans="1:2" x14ac:dyDescent="0.2">
      <c r="A868" t="str">
        <f>"AQP3"</f>
        <v>AQP3</v>
      </c>
      <c r="B868" t="s">
        <v>5</v>
      </c>
    </row>
    <row r="869" spans="1:2" x14ac:dyDescent="0.2">
      <c r="A869" t="str">
        <f>"AQP4"</f>
        <v>AQP4</v>
      </c>
      <c r="B869" t="s">
        <v>5</v>
      </c>
    </row>
    <row r="870" spans="1:2" x14ac:dyDescent="0.2">
      <c r="A870" t="str">
        <f>"AQP5"</f>
        <v>AQP5</v>
      </c>
      <c r="B870" t="s">
        <v>5</v>
      </c>
    </row>
    <row r="871" spans="1:2" x14ac:dyDescent="0.2">
      <c r="A871" t="str">
        <f>"AQP6"</f>
        <v>AQP6</v>
      </c>
      <c r="B871" t="s">
        <v>2</v>
      </c>
    </row>
    <row r="872" spans="1:2" x14ac:dyDescent="0.2">
      <c r="A872" t="str">
        <f>"AQP7"</f>
        <v>AQP7</v>
      </c>
      <c r="B872" t="s">
        <v>5</v>
      </c>
    </row>
    <row r="873" spans="1:2" x14ac:dyDescent="0.2">
      <c r="A873" t="str">
        <f>"AQP8"</f>
        <v>AQP8</v>
      </c>
      <c r="B873" t="s">
        <v>5</v>
      </c>
    </row>
    <row r="874" spans="1:2" x14ac:dyDescent="0.2">
      <c r="A874" t="str">
        <f>"AQP9"</f>
        <v>AQP9</v>
      </c>
      <c r="B874" t="s">
        <v>5</v>
      </c>
    </row>
    <row r="875" spans="1:2" x14ac:dyDescent="0.2">
      <c r="A875" t="str">
        <f>"AQPEP"</f>
        <v>AQPEP</v>
      </c>
      <c r="B875" t="s">
        <v>2</v>
      </c>
    </row>
    <row r="876" spans="1:2" x14ac:dyDescent="0.2">
      <c r="A876" t="str">
        <f>"AQR"</f>
        <v>AQR</v>
      </c>
      <c r="B876" t="s">
        <v>3</v>
      </c>
    </row>
    <row r="877" spans="1:2" x14ac:dyDescent="0.2">
      <c r="A877" t="str">
        <f>"AR"</f>
        <v>AR</v>
      </c>
      <c r="B877" t="s">
        <v>3</v>
      </c>
    </row>
    <row r="878" spans="1:2" x14ac:dyDescent="0.2">
      <c r="A878" t="str">
        <f>"ARAF"</f>
        <v>ARAF</v>
      </c>
      <c r="B878" t="s">
        <v>7</v>
      </c>
    </row>
    <row r="879" spans="1:2" x14ac:dyDescent="0.2">
      <c r="A879" t="str">
        <f>"ARAP1"</f>
        <v>ARAP1</v>
      </c>
      <c r="B879" t="s">
        <v>3</v>
      </c>
    </row>
    <row r="880" spans="1:2" x14ac:dyDescent="0.2">
      <c r="A880" t="str">
        <f>"ARAP2"</f>
        <v>ARAP2</v>
      </c>
      <c r="B880" t="s">
        <v>2</v>
      </c>
    </row>
    <row r="881" spans="1:2" x14ac:dyDescent="0.2">
      <c r="A881" t="str">
        <f>"ARAP3"</f>
        <v>ARAP3</v>
      </c>
      <c r="B881" t="s">
        <v>6</v>
      </c>
    </row>
    <row r="882" spans="1:2" x14ac:dyDescent="0.2">
      <c r="A882" t="str">
        <f>"ARC"</f>
        <v>ARC</v>
      </c>
      <c r="B882" t="s">
        <v>2</v>
      </c>
    </row>
    <row r="883" spans="1:2" x14ac:dyDescent="0.2">
      <c r="A883" t="str">
        <f>"ARCN1"</f>
        <v>ARCN1</v>
      </c>
      <c r="B883" t="s">
        <v>2</v>
      </c>
    </row>
    <row r="884" spans="1:2" x14ac:dyDescent="0.2">
      <c r="A884" t="str">
        <f>"AREG"</f>
        <v>AREG</v>
      </c>
      <c r="B884" t="s">
        <v>5</v>
      </c>
    </row>
    <row r="885" spans="1:2" x14ac:dyDescent="0.2">
      <c r="A885" t="str">
        <f>"AREL1"</f>
        <v>AREL1</v>
      </c>
      <c r="B885" t="s">
        <v>2</v>
      </c>
    </row>
    <row r="886" spans="1:2" x14ac:dyDescent="0.2">
      <c r="A886" t="str">
        <f>"ARF1"</f>
        <v>ARF1</v>
      </c>
      <c r="B886" t="s">
        <v>7</v>
      </c>
    </row>
    <row r="887" spans="1:2" x14ac:dyDescent="0.2">
      <c r="A887" t="str">
        <f>"ARF3"</f>
        <v>ARF3</v>
      </c>
      <c r="B887" t="s">
        <v>2</v>
      </c>
    </row>
    <row r="888" spans="1:2" x14ac:dyDescent="0.2">
      <c r="A888" t="str">
        <f>"ARF4"</f>
        <v>ARF4</v>
      </c>
      <c r="B888" t="s">
        <v>7</v>
      </c>
    </row>
    <row r="889" spans="1:2" x14ac:dyDescent="0.2">
      <c r="A889" t="str">
        <f>"ARF5"</f>
        <v>ARF5</v>
      </c>
      <c r="B889" t="s">
        <v>6</v>
      </c>
    </row>
    <row r="890" spans="1:2" x14ac:dyDescent="0.2">
      <c r="A890" t="str">
        <f>"ARF6"</f>
        <v>ARF6</v>
      </c>
      <c r="B890" t="s">
        <v>7</v>
      </c>
    </row>
    <row r="891" spans="1:2" x14ac:dyDescent="0.2">
      <c r="A891" t="str">
        <f>"ARFGAP1"</f>
        <v>ARFGAP1</v>
      </c>
      <c r="B891" t="s">
        <v>6</v>
      </c>
    </row>
    <row r="892" spans="1:2" x14ac:dyDescent="0.2">
      <c r="A892" t="str">
        <f>"ARFGAP2"</f>
        <v>ARFGAP2</v>
      </c>
      <c r="B892" t="s">
        <v>6</v>
      </c>
    </row>
    <row r="893" spans="1:2" x14ac:dyDescent="0.2">
      <c r="A893" t="str">
        <f>"ARFGAP3"</f>
        <v>ARFGAP3</v>
      </c>
      <c r="B893" t="s">
        <v>2</v>
      </c>
    </row>
    <row r="894" spans="1:2" x14ac:dyDescent="0.2">
      <c r="A894" t="str">
        <f>"ARFGEF1"</f>
        <v>ARFGEF1</v>
      </c>
      <c r="B894" t="s">
        <v>2</v>
      </c>
    </row>
    <row r="895" spans="1:2" x14ac:dyDescent="0.2">
      <c r="A895" t="str">
        <f>"ARFGEF2"</f>
        <v>ARFGEF2</v>
      </c>
      <c r="B895" t="s">
        <v>2</v>
      </c>
    </row>
    <row r="896" spans="1:2" x14ac:dyDescent="0.2">
      <c r="A896" t="str">
        <f>"ARFIP1"</f>
        <v>ARFIP1</v>
      </c>
      <c r="B896" t="s">
        <v>4</v>
      </c>
    </row>
    <row r="897" spans="1:2" x14ac:dyDescent="0.2">
      <c r="A897" t="str">
        <f>"ARFIP2"</f>
        <v>ARFIP2</v>
      </c>
      <c r="B897" t="s">
        <v>2</v>
      </c>
    </row>
    <row r="898" spans="1:2" x14ac:dyDescent="0.2">
      <c r="A898" t="str">
        <f>"ARFRP1"</f>
        <v>ARFRP1</v>
      </c>
      <c r="B898" t="s">
        <v>2</v>
      </c>
    </row>
    <row r="899" spans="1:2" x14ac:dyDescent="0.2">
      <c r="A899" t="str">
        <f>"ARG1"</f>
        <v>ARG1</v>
      </c>
      <c r="B899" t="s">
        <v>3</v>
      </c>
    </row>
    <row r="900" spans="1:2" x14ac:dyDescent="0.2">
      <c r="A900" t="str">
        <f>"ARG2"</f>
        <v>ARG2</v>
      </c>
      <c r="B900" t="s">
        <v>3</v>
      </c>
    </row>
    <row r="901" spans="1:2" x14ac:dyDescent="0.2">
      <c r="A901" t="str">
        <f>"ARGFX"</f>
        <v>ARGFX</v>
      </c>
      <c r="B901" t="s">
        <v>8</v>
      </c>
    </row>
    <row r="902" spans="1:2" x14ac:dyDescent="0.2">
      <c r="A902" t="str">
        <f>"ARGLU1"</f>
        <v>ARGLU1</v>
      </c>
      <c r="B902" t="s">
        <v>3</v>
      </c>
    </row>
    <row r="903" spans="1:2" x14ac:dyDescent="0.2">
      <c r="A903" t="str">
        <f>"ARHGAP1"</f>
        <v>ARHGAP1</v>
      </c>
      <c r="B903" t="s">
        <v>6</v>
      </c>
    </row>
    <row r="904" spans="1:2" x14ac:dyDescent="0.2">
      <c r="A904" t="str">
        <f>"ARHGAP10"</f>
        <v>ARHGAP10</v>
      </c>
      <c r="B904" t="s">
        <v>6</v>
      </c>
    </row>
    <row r="905" spans="1:2" x14ac:dyDescent="0.2">
      <c r="A905" t="str">
        <f>"ARHGAP11A"</f>
        <v>ARHGAP11A</v>
      </c>
      <c r="B905" t="s">
        <v>3</v>
      </c>
    </row>
    <row r="906" spans="1:2" x14ac:dyDescent="0.2">
      <c r="A906" t="str">
        <f>"ARHGAP11B"</f>
        <v>ARHGAP11B</v>
      </c>
      <c r="B906" t="s">
        <v>4</v>
      </c>
    </row>
    <row r="907" spans="1:2" x14ac:dyDescent="0.2">
      <c r="A907" t="str">
        <f>"ARHGAP12"</f>
        <v>ARHGAP12</v>
      </c>
      <c r="B907" t="s">
        <v>2</v>
      </c>
    </row>
    <row r="908" spans="1:2" x14ac:dyDescent="0.2">
      <c r="A908" t="str">
        <f>"ARHGAP15"</f>
        <v>ARHGAP15</v>
      </c>
      <c r="B908" t="s">
        <v>4</v>
      </c>
    </row>
    <row r="909" spans="1:2" x14ac:dyDescent="0.2">
      <c r="A909" t="str">
        <f>"ARHGAP17"</f>
        <v>ARHGAP17</v>
      </c>
      <c r="B909" t="s">
        <v>6</v>
      </c>
    </row>
    <row r="910" spans="1:2" x14ac:dyDescent="0.2">
      <c r="A910" t="str">
        <f>"ARHGAP18"</f>
        <v>ARHGAP18</v>
      </c>
      <c r="B910" t="s">
        <v>4</v>
      </c>
    </row>
    <row r="911" spans="1:2" x14ac:dyDescent="0.2">
      <c r="A911" t="str">
        <f>"ARHGAP19"</f>
        <v>ARHGAP19</v>
      </c>
      <c r="B911" t="s">
        <v>4</v>
      </c>
    </row>
    <row r="912" spans="1:2" x14ac:dyDescent="0.2">
      <c r="A912" t="str">
        <f>"ARHGAP20"</f>
        <v>ARHGAP20</v>
      </c>
      <c r="B912" t="s">
        <v>3</v>
      </c>
    </row>
    <row r="913" spans="1:2" x14ac:dyDescent="0.2">
      <c r="A913" t="str">
        <f>"ARHGAP21"</f>
        <v>ARHGAP21</v>
      </c>
      <c r="B913" t="s">
        <v>6</v>
      </c>
    </row>
    <row r="914" spans="1:2" x14ac:dyDescent="0.2">
      <c r="A914" t="str">
        <f>"ARHGAP22"</f>
        <v>ARHGAP22</v>
      </c>
      <c r="B914" t="s">
        <v>8</v>
      </c>
    </row>
    <row r="915" spans="1:2" x14ac:dyDescent="0.2">
      <c r="A915" t="str">
        <f>"ARHGAP23"</f>
        <v>ARHGAP23</v>
      </c>
      <c r="B915" t="s">
        <v>4</v>
      </c>
    </row>
    <row r="916" spans="1:2" x14ac:dyDescent="0.2">
      <c r="A916" t="str">
        <f>"ARHGAP24"</f>
        <v>ARHGAP24</v>
      </c>
      <c r="B916" t="s">
        <v>6</v>
      </c>
    </row>
    <row r="917" spans="1:2" x14ac:dyDescent="0.2">
      <c r="A917" t="str">
        <f>"ARHGAP25"</f>
        <v>ARHGAP25</v>
      </c>
      <c r="B917" t="s">
        <v>3</v>
      </c>
    </row>
    <row r="918" spans="1:2" x14ac:dyDescent="0.2">
      <c r="A918" t="str">
        <f>"ARHGAP26"</f>
        <v>ARHGAP26</v>
      </c>
      <c r="B918" t="s">
        <v>7</v>
      </c>
    </row>
    <row r="919" spans="1:2" x14ac:dyDescent="0.2">
      <c r="A919" t="str">
        <f>"ARHGAP27"</f>
        <v>ARHGAP27</v>
      </c>
      <c r="B919" t="s">
        <v>2</v>
      </c>
    </row>
    <row r="920" spans="1:2" x14ac:dyDescent="0.2">
      <c r="A920" t="str">
        <f>"ARHGAP28"</f>
        <v>ARHGAP28</v>
      </c>
      <c r="B920" t="s">
        <v>4</v>
      </c>
    </row>
    <row r="921" spans="1:2" x14ac:dyDescent="0.2">
      <c r="A921" t="str">
        <f>"ARHGAP29"</f>
        <v>ARHGAP29</v>
      </c>
      <c r="B921" t="s">
        <v>3</v>
      </c>
    </row>
    <row r="922" spans="1:2" x14ac:dyDescent="0.2">
      <c r="A922" t="str">
        <f>"ARHGAP30"</f>
        <v>ARHGAP30</v>
      </c>
      <c r="B922" t="s">
        <v>2</v>
      </c>
    </row>
    <row r="923" spans="1:2" x14ac:dyDescent="0.2">
      <c r="A923" t="str">
        <f>"ARHGAP31"</f>
        <v>ARHGAP31</v>
      </c>
      <c r="B923" t="s">
        <v>4</v>
      </c>
    </row>
    <row r="924" spans="1:2" x14ac:dyDescent="0.2">
      <c r="A924" t="str">
        <f>"ARHGAP32"</f>
        <v>ARHGAP32</v>
      </c>
      <c r="B924" t="s">
        <v>6</v>
      </c>
    </row>
    <row r="925" spans="1:2" x14ac:dyDescent="0.2">
      <c r="A925" t="str">
        <f>"ARHGAP33"</f>
        <v>ARHGAP33</v>
      </c>
      <c r="B925" t="s">
        <v>2</v>
      </c>
    </row>
    <row r="926" spans="1:2" x14ac:dyDescent="0.2">
      <c r="A926" t="str">
        <f>"ARHGAP35"</f>
        <v>ARHGAP35</v>
      </c>
      <c r="B926" t="s">
        <v>3</v>
      </c>
    </row>
    <row r="927" spans="1:2" x14ac:dyDescent="0.2">
      <c r="A927" t="str">
        <f>"ARHGAP36"</f>
        <v>ARHGAP36</v>
      </c>
      <c r="B927" t="s">
        <v>4</v>
      </c>
    </row>
    <row r="928" spans="1:2" x14ac:dyDescent="0.2">
      <c r="A928" t="str">
        <f>"ARHGAP39"</f>
        <v>ARHGAP39</v>
      </c>
      <c r="B928" t="s">
        <v>6</v>
      </c>
    </row>
    <row r="929" spans="1:2" x14ac:dyDescent="0.2">
      <c r="A929" t="str">
        <f>"ARHGAP4"</f>
        <v>ARHGAP4</v>
      </c>
      <c r="B929" t="s">
        <v>2</v>
      </c>
    </row>
    <row r="930" spans="1:2" x14ac:dyDescent="0.2">
      <c r="A930" t="str">
        <f>"ARHGAP40"</f>
        <v>ARHGAP40</v>
      </c>
      <c r="B930" t="s">
        <v>2</v>
      </c>
    </row>
    <row r="931" spans="1:2" x14ac:dyDescent="0.2">
      <c r="A931" t="str">
        <f>"ARHGAP42"</f>
        <v>ARHGAP42</v>
      </c>
      <c r="B931" t="s">
        <v>2</v>
      </c>
    </row>
    <row r="932" spans="1:2" x14ac:dyDescent="0.2">
      <c r="A932" t="str">
        <f>"ARHGAP44"</f>
        <v>ARHGAP44</v>
      </c>
      <c r="B932" t="s">
        <v>6</v>
      </c>
    </row>
    <row r="933" spans="1:2" x14ac:dyDescent="0.2">
      <c r="A933" t="str">
        <f>"ARHGAP5"</f>
        <v>ARHGAP5</v>
      </c>
      <c r="B933" t="s">
        <v>6</v>
      </c>
    </row>
    <row r="934" spans="1:2" x14ac:dyDescent="0.2">
      <c r="A934" t="str">
        <f>"ARHGAP6"</f>
        <v>ARHGAP6</v>
      </c>
      <c r="B934" t="s">
        <v>2</v>
      </c>
    </row>
    <row r="935" spans="1:2" x14ac:dyDescent="0.2">
      <c r="A935" t="str">
        <f>"ARHGAP8"</f>
        <v>ARHGAP8</v>
      </c>
      <c r="B935" t="s">
        <v>6</v>
      </c>
    </row>
    <row r="936" spans="1:2" x14ac:dyDescent="0.2">
      <c r="A936" t="str">
        <f>"ARHGAP9"</f>
        <v>ARHGAP9</v>
      </c>
      <c r="B936" t="s">
        <v>4</v>
      </c>
    </row>
    <row r="937" spans="1:2" x14ac:dyDescent="0.2">
      <c r="A937" t="str">
        <f>"ARHGDIA"</f>
        <v>ARHGDIA</v>
      </c>
      <c r="B937" t="s">
        <v>2</v>
      </c>
    </row>
    <row r="938" spans="1:2" x14ac:dyDescent="0.2">
      <c r="A938" t="str">
        <f>"ARHGDIB"</f>
        <v>ARHGDIB</v>
      </c>
      <c r="B938" t="s">
        <v>2</v>
      </c>
    </row>
    <row r="939" spans="1:2" x14ac:dyDescent="0.2">
      <c r="A939" t="str">
        <f>"ARHGDIG"</f>
        <v>ARHGDIG</v>
      </c>
      <c r="B939" t="s">
        <v>2</v>
      </c>
    </row>
    <row r="940" spans="1:2" x14ac:dyDescent="0.2">
      <c r="A940" t="str">
        <f>"ARHGEF1"</f>
        <v>ARHGEF1</v>
      </c>
      <c r="B940" t="s">
        <v>6</v>
      </c>
    </row>
    <row r="941" spans="1:2" x14ac:dyDescent="0.2">
      <c r="A941" t="str">
        <f>"ARHGEF10"</f>
        <v>ARHGEF10</v>
      </c>
      <c r="B941" t="s">
        <v>2</v>
      </c>
    </row>
    <row r="942" spans="1:2" x14ac:dyDescent="0.2">
      <c r="A942" t="str">
        <f>"ARHGEF10L"</f>
        <v>ARHGEF10L</v>
      </c>
      <c r="B942" t="s">
        <v>8</v>
      </c>
    </row>
    <row r="943" spans="1:2" x14ac:dyDescent="0.2">
      <c r="A943" t="str">
        <f>"ARHGEF11"</f>
        <v>ARHGEF11</v>
      </c>
      <c r="B943" t="s">
        <v>6</v>
      </c>
    </row>
    <row r="944" spans="1:2" x14ac:dyDescent="0.2">
      <c r="A944" t="str">
        <f>"ARHGEF12"</f>
        <v>ARHGEF12</v>
      </c>
      <c r="B944" t="s">
        <v>3</v>
      </c>
    </row>
    <row r="945" spans="1:2" x14ac:dyDescent="0.2">
      <c r="A945" t="str">
        <f>"ARHGEF15"</f>
        <v>ARHGEF15</v>
      </c>
      <c r="B945" t="s">
        <v>6</v>
      </c>
    </row>
    <row r="946" spans="1:2" x14ac:dyDescent="0.2">
      <c r="A946" t="str">
        <f>"ARHGEF16"</f>
        <v>ARHGEF16</v>
      </c>
      <c r="B946" t="s">
        <v>6</v>
      </c>
    </row>
    <row r="947" spans="1:2" x14ac:dyDescent="0.2">
      <c r="A947" t="str">
        <f>"ARHGEF17"</f>
        <v>ARHGEF17</v>
      </c>
      <c r="B947" t="s">
        <v>6</v>
      </c>
    </row>
    <row r="948" spans="1:2" x14ac:dyDescent="0.2">
      <c r="A948" t="str">
        <f>"ARHGEF18"</f>
        <v>ARHGEF18</v>
      </c>
      <c r="B948" t="s">
        <v>6</v>
      </c>
    </row>
    <row r="949" spans="1:2" x14ac:dyDescent="0.2">
      <c r="A949" t="str">
        <f>"ARHGEF19"</f>
        <v>ARHGEF19</v>
      </c>
      <c r="B949" t="s">
        <v>6</v>
      </c>
    </row>
    <row r="950" spans="1:2" x14ac:dyDescent="0.2">
      <c r="A950" t="str">
        <f>"ARHGEF2"</f>
        <v>ARHGEF2</v>
      </c>
      <c r="B950" t="s">
        <v>8</v>
      </c>
    </row>
    <row r="951" spans="1:2" x14ac:dyDescent="0.2">
      <c r="A951" t="str">
        <f>"ARHGEF25"</f>
        <v>ARHGEF25</v>
      </c>
      <c r="B951" t="s">
        <v>3</v>
      </c>
    </row>
    <row r="952" spans="1:2" x14ac:dyDescent="0.2">
      <c r="A952" t="str">
        <f>"ARHGEF26"</f>
        <v>ARHGEF26</v>
      </c>
      <c r="B952" t="s">
        <v>4</v>
      </c>
    </row>
    <row r="953" spans="1:2" x14ac:dyDescent="0.2">
      <c r="A953" t="str">
        <f>"ARHGEF28"</f>
        <v>ARHGEF28</v>
      </c>
      <c r="B953" t="s">
        <v>6</v>
      </c>
    </row>
    <row r="954" spans="1:2" x14ac:dyDescent="0.2">
      <c r="A954" t="str">
        <f>"ARHGEF3"</f>
        <v>ARHGEF3</v>
      </c>
      <c r="B954" t="s">
        <v>6</v>
      </c>
    </row>
    <row r="955" spans="1:2" x14ac:dyDescent="0.2">
      <c r="A955" t="str">
        <f>"ARHGEF33"</f>
        <v>ARHGEF33</v>
      </c>
      <c r="B955" t="s">
        <v>4</v>
      </c>
    </row>
    <row r="956" spans="1:2" x14ac:dyDescent="0.2">
      <c r="A956" t="str">
        <f>"ARHGEF35"</f>
        <v>ARHGEF35</v>
      </c>
      <c r="B956" t="s">
        <v>4</v>
      </c>
    </row>
    <row r="957" spans="1:2" x14ac:dyDescent="0.2">
      <c r="A957" t="str">
        <f>"ARHGEF37"</f>
        <v>ARHGEF37</v>
      </c>
      <c r="B957" t="s">
        <v>6</v>
      </c>
    </row>
    <row r="958" spans="1:2" x14ac:dyDescent="0.2">
      <c r="A958" t="str">
        <f>"ARHGEF38"</f>
        <v>ARHGEF38</v>
      </c>
      <c r="B958" t="s">
        <v>6</v>
      </c>
    </row>
    <row r="959" spans="1:2" x14ac:dyDescent="0.2">
      <c r="A959" t="str">
        <f>"ARHGEF39"</f>
        <v>ARHGEF39</v>
      </c>
      <c r="B959" t="s">
        <v>4</v>
      </c>
    </row>
    <row r="960" spans="1:2" x14ac:dyDescent="0.2">
      <c r="A960" t="str">
        <f>"ARHGEF4"</f>
        <v>ARHGEF4</v>
      </c>
      <c r="B960" t="s">
        <v>6</v>
      </c>
    </row>
    <row r="961" spans="1:2" x14ac:dyDescent="0.2">
      <c r="A961" t="str">
        <f>"ARHGEF40"</f>
        <v>ARHGEF40</v>
      </c>
      <c r="B961" t="s">
        <v>3</v>
      </c>
    </row>
    <row r="962" spans="1:2" x14ac:dyDescent="0.2">
      <c r="A962" t="str">
        <f>"ARHGEF5"</f>
        <v>ARHGEF5</v>
      </c>
      <c r="B962" t="s">
        <v>6</v>
      </c>
    </row>
    <row r="963" spans="1:2" x14ac:dyDescent="0.2">
      <c r="A963" t="str">
        <f>"ARHGEF6"</f>
        <v>ARHGEF6</v>
      </c>
      <c r="B963" t="s">
        <v>3</v>
      </c>
    </row>
    <row r="964" spans="1:2" x14ac:dyDescent="0.2">
      <c r="A964" t="str">
        <f>"ARHGEF7"</f>
        <v>ARHGEF7</v>
      </c>
      <c r="B964" t="s">
        <v>3</v>
      </c>
    </row>
    <row r="965" spans="1:2" x14ac:dyDescent="0.2">
      <c r="A965" t="str">
        <f>"ARHGEF9"</f>
        <v>ARHGEF9</v>
      </c>
      <c r="B965" t="s">
        <v>6</v>
      </c>
    </row>
    <row r="966" spans="1:2" x14ac:dyDescent="0.2">
      <c r="A966" t="str">
        <f>"ARID1A"</f>
        <v>ARID1A</v>
      </c>
      <c r="B966" t="s">
        <v>3</v>
      </c>
    </row>
    <row r="967" spans="1:2" x14ac:dyDescent="0.2">
      <c r="A967" t="str">
        <f>"ARID1B"</f>
        <v>ARID1B</v>
      </c>
      <c r="B967" t="s">
        <v>8</v>
      </c>
    </row>
    <row r="968" spans="1:2" x14ac:dyDescent="0.2">
      <c r="A968" t="str">
        <f>"ARID2"</f>
        <v>ARID2</v>
      </c>
      <c r="B968" t="s">
        <v>8</v>
      </c>
    </row>
    <row r="969" spans="1:2" x14ac:dyDescent="0.2">
      <c r="A969" t="str">
        <f>"ARID3A"</f>
        <v>ARID3A</v>
      </c>
      <c r="B969" t="s">
        <v>8</v>
      </c>
    </row>
    <row r="970" spans="1:2" x14ac:dyDescent="0.2">
      <c r="A970" t="str">
        <f>"ARID3B"</f>
        <v>ARID3B</v>
      </c>
      <c r="B970" t="s">
        <v>8</v>
      </c>
    </row>
    <row r="971" spans="1:2" x14ac:dyDescent="0.2">
      <c r="A971" t="str">
        <f>"ARID3C"</f>
        <v>ARID3C</v>
      </c>
      <c r="B971" t="s">
        <v>8</v>
      </c>
    </row>
    <row r="972" spans="1:2" x14ac:dyDescent="0.2">
      <c r="A972" t="str">
        <f>"ARID4A"</f>
        <v>ARID4A</v>
      </c>
      <c r="B972" t="s">
        <v>6</v>
      </c>
    </row>
    <row r="973" spans="1:2" x14ac:dyDescent="0.2">
      <c r="A973" t="str">
        <f>"ARID4B"</f>
        <v>ARID4B</v>
      </c>
      <c r="B973" t="s">
        <v>6</v>
      </c>
    </row>
    <row r="974" spans="1:2" x14ac:dyDescent="0.2">
      <c r="A974" t="str">
        <f>"ARID5A"</f>
        <v>ARID5A</v>
      </c>
      <c r="B974" t="s">
        <v>8</v>
      </c>
    </row>
    <row r="975" spans="1:2" x14ac:dyDescent="0.2">
      <c r="A975" t="str">
        <f>"ARID5B"</f>
        <v>ARID5B</v>
      </c>
      <c r="B975" t="s">
        <v>8</v>
      </c>
    </row>
    <row r="976" spans="1:2" x14ac:dyDescent="0.2">
      <c r="A976" t="str">
        <f>"ARIH1"</f>
        <v>ARIH1</v>
      </c>
      <c r="B976" t="s">
        <v>2</v>
      </c>
    </row>
    <row r="977" spans="1:2" x14ac:dyDescent="0.2">
      <c r="A977" t="str">
        <f>"ARIH2"</f>
        <v>ARIH2</v>
      </c>
      <c r="B977" t="s">
        <v>2</v>
      </c>
    </row>
    <row r="978" spans="1:2" x14ac:dyDescent="0.2">
      <c r="A978" t="str">
        <f>"ARIH2OS"</f>
        <v>ARIH2OS</v>
      </c>
      <c r="B978" t="s">
        <v>5</v>
      </c>
    </row>
    <row r="979" spans="1:2" x14ac:dyDescent="0.2">
      <c r="A979" t="str">
        <f>"ARL1"</f>
        <v>ARL1</v>
      </c>
      <c r="B979" t="s">
        <v>7</v>
      </c>
    </row>
    <row r="980" spans="1:2" x14ac:dyDescent="0.2">
      <c r="A980" t="str">
        <f>"ARL10"</f>
        <v>ARL10</v>
      </c>
      <c r="B980" t="s">
        <v>5</v>
      </c>
    </row>
    <row r="981" spans="1:2" x14ac:dyDescent="0.2">
      <c r="A981" t="str">
        <f>"ARL11"</f>
        <v>ARL11</v>
      </c>
      <c r="B981" t="s">
        <v>6</v>
      </c>
    </row>
    <row r="982" spans="1:2" x14ac:dyDescent="0.2">
      <c r="A982" t="str">
        <f>"ARL13A"</f>
        <v>ARL13A</v>
      </c>
      <c r="B982" t="s">
        <v>4</v>
      </c>
    </row>
    <row r="983" spans="1:2" x14ac:dyDescent="0.2">
      <c r="A983" t="str">
        <f>"ARL13B"</f>
        <v>ARL13B</v>
      </c>
      <c r="B983" t="s">
        <v>4</v>
      </c>
    </row>
    <row r="984" spans="1:2" x14ac:dyDescent="0.2">
      <c r="A984" t="str">
        <f>"ARL14"</f>
        <v>ARL14</v>
      </c>
      <c r="B984" t="s">
        <v>6</v>
      </c>
    </row>
    <row r="985" spans="1:2" x14ac:dyDescent="0.2">
      <c r="A985" t="str">
        <f>"ARL14EP"</f>
        <v>ARL14EP</v>
      </c>
      <c r="B985" t="s">
        <v>4</v>
      </c>
    </row>
    <row r="986" spans="1:2" x14ac:dyDescent="0.2">
      <c r="A986" t="str">
        <f>"ARL14EPL"</f>
        <v>ARL14EPL</v>
      </c>
      <c r="B986" t="s">
        <v>4</v>
      </c>
    </row>
    <row r="987" spans="1:2" x14ac:dyDescent="0.2">
      <c r="A987" t="str">
        <f>"ARL15"</f>
        <v>ARL15</v>
      </c>
      <c r="B987" t="s">
        <v>6</v>
      </c>
    </row>
    <row r="988" spans="1:2" x14ac:dyDescent="0.2">
      <c r="A988" t="str">
        <f>"ARL16"</f>
        <v>ARL16</v>
      </c>
      <c r="B988" t="s">
        <v>4</v>
      </c>
    </row>
    <row r="989" spans="1:2" x14ac:dyDescent="0.2">
      <c r="A989" t="str">
        <f>"ARL17A"</f>
        <v>ARL17A</v>
      </c>
      <c r="B989" t="s">
        <v>6</v>
      </c>
    </row>
    <row r="990" spans="1:2" x14ac:dyDescent="0.2">
      <c r="A990" t="str">
        <f>"ARL17B"</f>
        <v>ARL17B</v>
      </c>
      <c r="B990" t="s">
        <v>4</v>
      </c>
    </row>
    <row r="991" spans="1:2" x14ac:dyDescent="0.2">
      <c r="A991" t="str">
        <f>"ARL2"</f>
        <v>ARL2</v>
      </c>
      <c r="B991" t="s">
        <v>2</v>
      </c>
    </row>
    <row r="992" spans="1:2" x14ac:dyDescent="0.2">
      <c r="A992" t="str">
        <f>"ARL2BP"</f>
        <v>ARL2BP</v>
      </c>
      <c r="B992" t="s">
        <v>3</v>
      </c>
    </row>
    <row r="993" spans="1:2" x14ac:dyDescent="0.2">
      <c r="A993" t="str">
        <f>"ARL3"</f>
        <v>ARL3</v>
      </c>
      <c r="B993" t="s">
        <v>7</v>
      </c>
    </row>
    <row r="994" spans="1:2" x14ac:dyDescent="0.2">
      <c r="A994" t="str">
        <f>"ARL4A"</f>
        <v>ARL4A</v>
      </c>
      <c r="B994" t="s">
        <v>2</v>
      </c>
    </row>
    <row r="995" spans="1:2" x14ac:dyDescent="0.2">
      <c r="A995" t="str">
        <f>"ARL4C"</f>
        <v>ARL4C</v>
      </c>
      <c r="B995" t="s">
        <v>2</v>
      </c>
    </row>
    <row r="996" spans="1:2" x14ac:dyDescent="0.2">
      <c r="A996" t="str">
        <f>"ARL4D"</f>
        <v>ARL4D</v>
      </c>
      <c r="B996" t="s">
        <v>2</v>
      </c>
    </row>
    <row r="997" spans="1:2" x14ac:dyDescent="0.2">
      <c r="A997" t="str">
        <f>"ARL5A"</f>
        <v>ARL5A</v>
      </c>
      <c r="B997" t="s">
        <v>3</v>
      </c>
    </row>
    <row r="998" spans="1:2" x14ac:dyDescent="0.2">
      <c r="A998" t="str">
        <f>"ARL5B"</f>
        <v>ARL5B</v>
      </c>
      <c r="B998" t="s">
        <v>7</v>
      </c>
    </row>
    <row r="999" spans="1:2" x14ac:dyDescent="0.2">
      <c r="A999" t="str">
        <f>"ARL5C"</f>
        <v>ARL5C</v>
      </c>
      <c r="B999" t="s">
        <v>6</v>
      </c>
    </row>
    <row r="1000" spans="1:2" x14ac:dyDescent="0.2">
      <c r="A1000" t="str">
        <f>"ARL6"</f>
        <v>ARL6</v>
      </c>
      <c r="B1000" t="s">
        <v>6</v>
      </c>
    </row>
    <row r="1001" spans="1:2" x14ac:dyDescent="0.2">
      <c r="A1001" t="str">
        <f>"ARL6IP1"</f>
        <v>ARL6IP1</v>
      </c>
      <c r="B1001" t="s">
        <v>2</v>
      </c>
    </row>
    <row r="1002" spans="1:2" x14ac:dyDescent="0.2">
      <c r="A1002" t="str">
        <f>"ARL6IP4"</f>
        <v>ARL6IP4</v>
      </c>
      <c r="B1002" t="s">
        <v>8</v>
      </c>
    </row>
    <row r="1003" spans="1:2" x14ac:dyDescent="0.2">
      <c r="A1003" t="str">
        <f>"ARL6IP5"</f>
        <v>ARL6IP5</v>
      </c>
      <c r="B1003" t="s">
        <v>6</v>
      </c>
    </row>
    <row r="1004" spans="1:2" x14ac:dyDescent="0.2">
      <c r="A1004" t="str">
        <f>"ARL6IP6"</f>
        <v>ARL6IP6</v>
      </c>
      <c r="B1004" t="s">
        <v>5</v>
      </c>
    </row>
    <row r="1005" spans="1:2" x14ac:dyDescent="0.2">
      <c r="A1005" t="str">
        <f>"ARL8A"</f>
        <v>ARL8A</v>
      </c>
      <c r="B1005" t="s">
        <v>2</v>
      </c>
    </row>
    <row r="1006" spans="1:2" x14ac:dyDescent="0.2">
      <c r="A1006" t="str">
        <f>"ARL8B"</f>
        <v>ARL8B</v>
      </c>
      <c r="B1006" t="s">
        <v>2</v>
      </c>
    </row>
    <row r="1007" spans="1:2" x14ac:dyDescent="0.2">
      <c r="A1007" t="str">
        <f>"ARL9"</f>
        <v>ARL9</v>
      </c>
      <c r="B1007" t="s">
        <v>3</v>
      </c>
    </row>
    <row r="1008" spans="1:2" x14ac:dyDescent="0.2">
      <c r="A1008" t="str">
        <f>"ARMC1"</f>
        <v>ARMC1</v>
      </c>
      <c r="B1008" t="s">
        <v>6</v>
      </c>
    </row>
    <row r="1009" spans="1:2" x14ac:dyDescent="0.2">
      <c r="A1009" t="str">
        <f>"ARMC10"</f>
        <v>ARMC10</v>
      </c>
      <c r="B1009" t="s">
        <v>6</v>
      </c>
    </row>
    <row r="1010" spans="1:2" x14ac:dyDescent="0.2">
      <c r="A1010" t="str">
        <f>"ARMC12"</f>
        <v>ARMC12</v>
      </c>
      <c r="B1010" t="s">
        <v>4</v>
      </c>
    </row>
    <row r="1011" spans="1:2" x14ac:dyDescent="0.2">
      <c r="A1011" t="str">
        <f>"ARMC2"</f>
        <v>ARMC2</v>
      </c>
      <c r="B1011" t="s">
        <v>4</v>
      </c>
    </row>
    <row r="1012" spans="1:2" x14ac:dyDescent="0.2">
      <c r="A1012" t="str">
        <f>"ARMC3"</f>
        <v>ARMC3</v>
      </c>
      <c r="B1012" t="s">
        <v>4</v>
      </c>
    </row>
    <row r="1013" spans="1:2" x14ac:dyDescent="0.2">
      <c r="A1013" t="str">
        <f>"ARMC4"</f>
        <v>ARMC4</v>
      </c>
      <c r="B1013" t="s">
        <v>6</v>
      </c>
    </row>
    <row r="1014" spans="1:2" x14ac:dyDescent="0.2">
      <c r="A1014" t="str">
        <f>"ARMC5"</f>
        <v>ARMC5</v>
      </c>
      <c r="B1014" t="s">
        <v>2</v>
      </c>
    </row>
    <row r="1015" spans="1:2" x14ac:dyDescent="0.2">
      <c r="A1015" t="str">
        <f>"ARMC6"</f>
        <v>ARMC6</v>
      </c>
      <c r="B1015" t="s">
        <v>3</v>
      </c>
    </row>
    <row r="1016" spans="1:2" x14ac:dyDescent="0.2">
      <c r="A1016" t="str">
        <f>"ARMC7"</f>
        <v>ARMC7</v>
      </c>
      <c r="B1016" t="s">
        <v>4</v>
      </c>
    </row>
    <row r="1017" spans="1:2" x14ac:dyDescent="0.2">
      <c r="A1017" t="str">
        <f>"ARMC8"</f>
        <v>ARMC8</v>
      </c>
      <c r="B1017" t="s">
        <v>4</v>
      </c>
    </row>
    <row r="1018" spans="1:2" x14ac:dyDescent="0.2">
      <c r="A1018" t="str">
        <f>"ARMC9"</f>
        <v>ARMC9</v>
      </c>
      <c r="B1018" t="s">
        <v>4</v>
      </c>
    </row>
    <row r="1019" spans="1:2" x14ac:dyDescent="0.2">
      <c r="A1019" t="str">
        <f>"ARMCX1"</f>
        <v>ARMCX1</v>
      </c>
      <c r="B1019" t="s">
        <v>5</v>
      </c>
    </row>
    <row r="1020" spans="1:2" x14ac:dyDescent="0.2">
      <c r="A1020" t="str">
        <f>"ARMCX2"</f>
        <v>ARMCX2</v>
      </c>
      <c r="B1020" t="s">
        <v>5</v>
      </c>
    </row>
    <row r="1021" spans="1:2" x14ac:dyDescent="0.2">
      <c r="A1021" t="str">
        <f>"ARMCX3"</f>
        <v>ARMCX3</v>
      </c>
      <c r="B1021" t="s">
        <v>5</v>
      </c>
    </row>
    <row r="1022" spans="1:2" x14ac:dyDescent="0.2">
      <c r="A1022" t="str">
        <f>"ARMCX4"</f>
        <v>ARMCX4</v>
      </c>
      <c r="B1022" t="s">
        <v>5</v>
      </c>
    </row>
    <row r="1023" spans="1:2" x14ac:dyDescent="0.2">
      <c r="A1023" t="str">
        <f>"ARMCX5"</f>
        <v>ARMCX5</v>
      </c>
      <c r="B1023" t="s">
        <v>4</v>
      </c>
    </row>
    <row r="1024" spans="1:2" x14ac:dyDescent="0.2">
      <c r="A1024" t="str">
        <f>"ARMCX5-GPRASP2"</f>
        <v>ARMCX5-GPRASP2</v>
      </c>
      <c r="B1024" t="s">
        <v>4</v>
      </c>
    </row>
    <row r="1025" spans="1:2" x14ac:dyDescent="0.2">
      <c r="A1025" t="str">
        <f>"ARMCX6"</f>
        <v>ARMCX6</v>
      </c>
      <c r="B1025" t="s">
        <v>5</v>
      </c>
    </row>
    <row r="1026" spans="1:2" x14ac:dyDescent="0.2">
      <c r="A1026" t="str">
        <f>"ARMS2"</f>
        <v>ARMS2</v>
      </c>
      <c r="B1026" t="s">
        <v>6</v>
      </c>
    </row>
    <row r="1027" spans="1:2" x14ac:dyDescent="0.2">
      <c r="A1027" t="str">
        <f>"ARNT"</f>
        <v>ARNT</v>
      </c>
      <c r="B1027" t="s">
        <v>3</v>
      </c>
    </row>
    <row r="1028" spans="1:2" x14ac:dyDescent="0.2">
      <c r="A1028" t="str">
        <f>"ARNT2"</f>
        <v>ARNT2</v>
      </c>
      <c r="B1028" t="s">
        <v>3</v>
      </c>
    </row>
    <row r="1029" spans="1:2" x14ac:dyDescent="0.2">
      <c r="A1029" t="str">
        <f>"ARNTL"</f>
        <v>ARNTL</v>
      </c>
      <c r="B1029" t="s">
        <v>8</v>
      </c>
    </row>
    <row r="1030" spans="1:2" x14ac:dyDescent="0.2">
      <c r="A1030" t="str">
        <f>"ARNTL2"</f>
        <v>ARNTL2</v>
      </c>
      <c r="B1030" t="s">
        <v>8</v>
      </c>
    </row>
    <row r="1031" spans="1:2" x14ac:dyDescent="0.2">
      <c r="A1031" t="str">
        <f>"ARPC1A"</f>
        <v>ARPC1A</v>
      </c>
      <c r="B1031" t="s">
        <v>3</v>
      </c>
    </row>
    <row r="1032" spans="1:2" x14ac:dyDescent="0.2">
      <c r="A1032" t="str">
        <f>"ARPC1B"</f>
        <v>ARPC1B</v>
      </c>
      <c r="B1032" t="s">
        <v>7</v>
      </c>
    </row>
    <row r="1033" spans="1:2" x14ac:dyDescent="0.2">
      <c r="A1033" t="str">
        <f>"ARPC2"</f>
        <v>ARPC2</v>
      </c>
      <c r="B1033" t="s">
        <v>7</v>
      </c>
    </row>
    <row r="1034" spans="1:2" x14ac:dyDescent="0.2">
      <c r="A1034" t="str">
        <f>"ARPC3"</f>
        <v>ARPC3</v>
      </c>
      <c r="B1034" t="s">
        <v>7</v>
      </c>
    </row>
    <row r="1035" spans="1:2" x14ac:dyDescent="0.2">
      <c r="A1035" t="str">
        <f>"ARPC4"</f>
        <v>ARPC4</v>
      </c>
      <c r="B1035" t="s">
        <v>7</v>
      </c>
    </row>
    <row r="1036" spans="1:2" x14ac:dyDescent="0.2">
      <c r="A1036" t="str">
        <f>"ARPC4-TTLL3"</f>
        <v>ARPC4-TTLL3</v>
      </c>
      <c r="B1036" t="s">
        <v>4</v>
      </c>
    </row>
    <row r="1037" spans="1:2" x14ac:dyDescent="0.2">
      <c r="A1037" t="str">
        <f>"ARPC5"</f>
        <v>ARPC5</v>
      </c>
      <c r="B1037" t="s">
        <v>7</v>
      </c>
    </row>
    <row r="1038" spans="1:2" x14ac:dyDescent="0.2">
      <c r="A1038" t="str">
        <f>"ARPC5L"</f>
        <v>ARPC5L</v>
      </c>
      <c r="B1038" t="s">
        <v>6</v>
      </c>
    </row>
    <row r="1039" spans="1:2" x14ac:dyDescent="0.2">
      <c r="A1039" t="str">
        <f>"ARPP19"</f>
        <v>ARPP19</v>
      </c>
      <c r="B1039" t="s">
        <v>4</v>
      </c>
    </row>
    <row r="1040" spans="1:2" x14ac:dyDescent="0.2">
      <c r="A1040" t="str">
        <f>"ARPP21"</f>
        <v>ARPP21</v>
      </c>
      <c r="B1040" t="s">
        <v>4</v>
      </c>
    </row>
    <row r="1041" spans="1:2" x14ac:dyDescent="0.2">
      <c r="A1041" t="str">
        <f>"ARR3"</f>
        <v>ARR3</v>
      </c>
      <c r="B1041" t="s">
        <v>2</v>
      </c>
    </row>
    <row r="1042" spans="1:2" x14ac:dyDescent="0.2">
      <c r="A1042" t="str">
        <f>"ARRB1"</f>
        <v>ARRB1</v>
      </c>
      <c r="B1042" t="s">
        <v>6</v>
      </c>
    </row>
    <row r="1043" spans="1:2" x14ac:dyDescent="0.2">
      <c r="A1043" t="str">
        <f>"ARRB2"</f>
        <v>ARRB2</v>
      </c>
      <c r="B1043" t="s">
        <v>6</v>
      </c>
    </row>
    <row r="1044" spans="1:2" x14ac:dyDescent="0.2">
      <c r="A1044" t="str">
        <f>"ARRDC1"</f>
        <v>ARRDC1</v>
      </c>
      <c r="B1044" t="s">
        <v>4</v>
      </c>
    </row>
    <row r="1045" spans="1:2" x14ac:dyDescent="0.2">
      <c r="A1045" t="str">
        <f>"ARRDC2"</f>
        <v>ARRDC2</v>
      </c>
      <c r="B1045" t="s">
        <v>2</v>
      </c>
    </row>
    <row r="1046" spans="1:2" x14ac:dyDescent="0.2">
      <c r="A1046" t="str">
        <f>"ARRDC3"</f>
        <v>ARRDC3</v>
      </c>
      <c r="B1046" t="s">
        <v>4</v>
      </c>
    </row>
    <row r="1047" spans="1:2" x14ac:dyDescent="0.2">
      <c r="A1047" t="str">
        <f>"ARRDC4"</f>
        <v>ARRDC4</v>
      </c>
      <c r="B1047" t="s">
        <v>3</v>
      </c>
    </row>
    <row r="1048" spans="1:2" x14ac:dyDescent="0.2">
      <c r="A1048" t="str">
        <f>"ARRDC5"</f>
        <v>ARRDC5</v>
      </c>
      <c r="B1048" t="s">
        <v>4</v>
      </c>
    </row>
    <row r="1049" spans="1:2" x14ac:dyDescent="0.2">
      <c r="A1049" t="str">
        <f>"ARSA"</f>
        <v>ARSA</v>
      </c>
      <c r="B1049" t="s">
        <v>7</v>
      </c>
    </row>
    <row r="1050" spans="1:2" x14ac:dyDescent="0.2">
      <c r="A1050" t="str">
        <f>"ARSB"</f>
        <v>ARSB</v>
      </c>
      <c r="B1050" t="s">
        <v>2</v>
      </c>
    </row>
    <row r="1051" spans="1:2" x14ac:dyDescent="0.2">
      <c r="A1051" t="str">
        <f>"ARSD"</f>
        <v>ARSD</v>
      </c>
      <c r="B1051" t="s">
        <v>3</v>
      </c>
    </row>
    <row r="1052" spans="1:2" x14ac:dyDescent="0.2">
      <c r="A1052" t="str">
        <f>"ARSE"</f>
        <v>ARSE</v>
      </c>
      <c r="B1052" t="s">
        <v>5</v>
      </c>
    </row>
    <row r="1053" spans="1:2" x14ac:dyDescent="0.2">
      <c r="A1053" t="str">
        <f>"ARSF"</f>
        <v>ARSF</v>
      </c>
      <c r="B1053" t="s">
        <v>5</v>
      </c>
    </row>
    <row r="1054" spans="1:2" x14ac:dyDescent="0.2">
      <c r="A1054" t="str">
        <f>"ARSG"</f>
        <v>ARSG</v>
      </c>
      <c r="B1054" t="s">
        <v>2</v>
      </c>
    </row>
    <row r="1055" spans="1:2" x14ac:dyDescent="0.2">
      <c r="A1055" t="str">
        <f>"ARSH"</f>
        <v>ARSH</v>
      </c>
      <c r="B1055" t="s">
        <v>5</v>
      </c>
    </row>
    <row r="1056" spans="1:2" x14ac:dyDescent="0.2">
      <c r="A1056" t="str">
        <f>"ARSI"</f>
        <v>ARSI</v>
      </c>
      <c r="B1056" t="s">
        <v>4</v>
      </c>
    </row>
    <row r="1057" spans="1:2" x14ac:dyDescent="0.2">
      <c r="A1057" t="str">
        <f>"ARSJ"</f>
        <v>ARSJ</v>
      </c>
      <c r="B1057" t="s">
        <v>3</v>
      </c>
    </row>
    <row r="1058" spans="1:2" x14ac:dyDescent="0.2">
      <c r="A1058" t="str">
        <f>"ARSK"</f>
        <v>ARSK</v>
      </c>
      <c r="B1058" t="s">
        <v>5</v>
      </c>
    </row>
    <row r="1059" spans="1:2" x14ac:dyDescent="0.2">
      <c r="A1059" t="str">
        <f>"ART1"</f>
        <v>ART1</v>
      </c>
      <c r="B1059" t="s">
        <v>7</v>
      </c>
    </row>
    <row r="1060" spans="1:2" x14ac:dyDescent="0.2">
      <c r="A1060" t="str">
        <f>"ART3"</f>
        <v>ART3</v>
      </c>
      <c r="B1060" t="s">
        <v>5</v>
      </c>
    </row>
    <row r="1061" spans="1:2" x14ac:dyDescent="0.2">
      <c r="A1061" t="str">
        <f>"ART4"</f>
        <v>ART4</v>
      </c>
      <c r="B1061" t="s">
        <v>4</v>
      </c>
    </row>
    <row r="1062" spans="1:2" x14ac:dyDescent="0.2">
      <c r="A1062" t="str">
        <f>"ART5"</f>
        <v>ART5</v>
      </c>
      <c r="B1062" t="s">
        <v>4</v>
      </c>
    </row>
    <row r="1063" spans="1:2" x14ac:dyDescent="0.2">
      <c r="A1063" t="str">
        <f>"ARTN"</f>
        <v>ARTN</v>
      </c>
      <c r="B1063" t="s">
        <v>4</v>
      </c>
    </row>
    <row r="1064" spans="1:2" x14ac:dyDescent="0.2">
      <c r="A1064" t="str">
        <f>"ARV1"</f>
        <v>ARV1</v>
      </c>
      <c r="B1064" t="s">
        <v>6</v>
      </c>
    </row>
    <row r="1065" spans="1:2" x14ac:dyDescent="0.2">
      <c r="A1065" t="str">
        <f>"ARVCF"</f>
        <v>ARVCF</v>
      </c>
      <c r="B1065" t="s">
        <v>6</v>
      </c>
    </row>
    <row r="1066" spans="1:2" x14ac:dyDescent="0.2">
      <c r="A1066" t="str">
        <f>"ARX"</f>
        <v>ARX</v>
      </c>
      <c r="B1066" t="s">
        <v>8</v>
      </c>
    </row>
    <row r="1067" spans="1:2" x14ac:dyDescent="0.2">
      <c r="A1067" t="str">
        <f>"AS3MT"</f>
        <v>AS3MT</v>
      </c>
      <c r="B1067" t="s">
        <v>6</v>
      </c>
    </row>
    <row r="1068" spans="1:2" x14ac:dyDescent="0.2">
      <c r="A1068" t="str">
        <f>"ASAH1"</f>
        <v>ASAH1</v>
      </c>
      <c r="B1068" t="s">
        <v>2</v>
      </c>
    </row>
    <row r="1069" spans="1:2" x14ac:dyDescent="0.2">
      <c r="A1069" t="str">
        <f>"ASAH2"</f>
        <v>ASAH2</v>
      </c>
      <c r="B1069" t="s">
        <v>6</v>
      </c>
    </row>
    <row r="1070" spans="1:2" x14ac:dyDescent="0.2">
      <c r="A1070" t="str">
        <f>"ASAH2B"</f>
        <v>ASAH2B</v>
      </c>
      <c r="B1070" t="s">
        <v>4</v>
      </c>
    </row>
    <row r="1071" spans="1:2" x14ac:dyDescent="0.2">
      <c r="A1071" t="str">
        <f>"ASAP1"</f>
        <v>ASAP1</v>
      </c>
      <c r="B1071" t="s">
        <v>8</v>
      </c>
    </row>
    <row r="1072" spans="1:2" x14ac:dyDescent="0.2">
      <c r="A1072" t="str">
        <f>"ASAP2"</f>
        <v>ASAP2</v>
      </c>
      <c r="B1072" t="s">
        <v>6</v>
      </c>
    </row>
    <row r="1073" spans="1:2" x14ac:dyDescent="0.2">
      <c r="A1073" t="str">
        <f>"ASAP3"</f>
        <v>ASAP3</v>
      </c>
      <c r="B1073" t="s">
        <v>8</v>
      </c>
    </row>
    <row r="1074" spans="1:2" x14ac:dyDescent="0.2">
      <c r="A1074" t="str">
        <f>"ASB1"</f>
        <v>ASB1</v>
      </c>
      <c r="B1074" t="s">
        <v>2</v>
      </c>
    </row>
    <row r="1075" spans="1:2" x14ac:dyDescent="0.2">
      <c r="A1075" t="str">
        <f>"ASB10"</f>
        <v>ASB10</v>
      </c>
      <c r="B1075" t="s">
        <v>2</v>
      </c>
    </row>
    <row r="1076" spans="1:2" x14ac:dyDescent="0.2">
      <c r="A1076" t="str">
        <f>"ASB11"</f>
        <v>ASB11</v>
      </c>
      <c r="B1076" t="s">
        <v>2</v>
      </c>
    </row>
    <row r="1077" spans="1:2" x14ac:dyDescent="0.2">
      <c r="A1077" t="str">
        <f>"ASB12"</f>
        <v>ASB12</v>
      </c>
      <c r="B1077" t="s">
        <v>2</v>
      </c>
    </row>
    <row r="1078" spans="1:2" x14ac:dyDescent="0.2">
      <c r="A1078" t="str">
        <f>"ASB13"</f>
        <v>ASB13</v>
      </c>
      <c r="B1078" t="s">
        <v>2</v>
      </c>
    </row>
    <row r="1079" spans="1:2" x14ac:dyDescent="0.2">
      <c r="A1079" t="str">
        <f>"ASB14"</f>
        <v>ASB14</v>
      </c>
      <c r="B1079" t="s">
        <v>2</v>
      </c>
    </row>
    <row r="1080" spans="1:2" x14ac:dyDescent="0.2">
      <c r="A1080" t="str">
        <f>"ASB15"</f>
        <v>ASB15</v>
      </c>
      <c r="B1080" t="s">
        <v>2</v>
      </c>
    </row>
    <row r="1081" spans="1:2" x14ac:dyDescent="0.2">
      <c r="A1081" t="str">
        <f>"ASB16"</f>
        <v>ASB16</v>
      </c>
      <c r="B1081" t="s">
        <v>2</v>
      </c>
    </row>
    <row r="1082" spans="1:2" x14ac:dyDescent="0.2">
      <c r="A1082" t="str">
        <f>"ASB17"</f>
        <v>ASB17</v>
      </c>
      <c r="B1082" t="s">
        <v>2</v>
      </c>
    </row>
    <row r="1083" spans="1:2" x14ac:dyDescent="0.2">
      <c r="A1083" t="str">
        <f>"ASB18"</f>
        <v>ASB18</v>
      </c>
      <c r="B1083" t="s">
        <v>2</v>
      </c>
    </row>
    <row r="1084" spans="1:2" x14ac:dyDescent="0.2">
      <c r="A1084" t="str">
        <f>"ASB2"</f>
        <v>ASB2</v>
      </c>
      <c r="B1084" t="s">
        <v>2</v>
      </c>
    </row>
    <row r="1085" spans="1:2" x14ac:dyDescent="0.2">
      <c r="A1085" t="str">
        <f>"ASB3"</f>
        <v>ASB3</v>
      </c>
      <c r="B1085" t="s">
        <v>2</v>
      </c>
    </row>
    <row r="1086" spans="1:2" x14ac:dyDescent="0.2">
      <c r="A1086" t="str">
        <f>"ASB4"</f>
        <v>ASB4</v>
      </c>
      <c r="B1086" t="s">
        <v>2</v>
      </c>
    </row>
    <row r="1087" spans="1:2" x14ac:dyDescent="0.2">
      <c r="A1087" t="str">
        <f>"ASB5"</f>
        <v>ASB5</v>
      </c>
      <c r="B1087" t="s">
        <v>2</v>
      </c>
    </row>
    <row r="1088" spans="1:2" x14ac:dyDescent="0.2">
      <c r="A1088" t="str">
        <f>"ASB6"</f>
        <v>ASB6</v>
      </c>
      <c r="B1088" t="s">
        <v>2</v>
      </c>
    </row>
    <row r="1089" spans="1:2" x14ac:dyDescent="0.2">
      <c r="A1089" t="str">
        <f>"ASB7"</f>
        <v>ASB7</v>
      </c>
      <c r="B1089" t="s">
        <v>2</v>
      </c>
    </row>
    <row r="1090" spans="1:2" x14ac:dyDescent="0.2">
      <c r="A1090" t="str">
        <f>"ASB8"</f>
        <v>ASB8</v>
      </c>
      <c r="B1090" t="s">
        <v>2</v>
      </c>
    </row>
    <row r="1091" spans="1:2" x14ac:dyDescent="0.2">
      <c r="A1091" t="str">
        <f>"ASB9"</f>
        <v>ASB9</v>
      </c>
      <c r="B1091" t="s">
        <v>2</v>
      </c>
    </row>
    <row r="1092" spans="1:2" x14ac:dyDescent="0.2">
      <c r="A1092" t="str">
        <f>"ASCC1"</f>
        <v>ASCC1</v>
      </c>
      <c r="B1092" t="s">
        <v>8</v>
      </c>
    </row>
    <row r="1093" spans="1:2" x14ac:dyDescent="0.2">
      <c r="A1093" t="str">
        <f>"ASCC2"</f>
        <v>ASCC2</v>
      </c>
      <c r="B1093" t="s">
        <v>2</v>
      </c>
    </row>
    <row r="1094" spans="1:2" x14ac:dyDescent="0.2">
      <c r="A1094" t="str">
        <f>"ASCC3"</f>
        <v>ASCC3</v>
      </c>
      <c r="B1094" t="s">
        <v>3</v>
      </c>
    </row>
    <row r="1095" spans="1:2" x14ac:dyDescent="0.2">
      <c r="A1095" t="str">
        <f>"ASCL1"</f>
        <v>ASCL1</v>
      </c>
      <c r="B1095" t="s">
        <v>8</v>
      </c>
    </row>
    <row r="1096" spans="1:2" x14ac:dyDescent="0.2">
      <c r="A1096" t="str">
        <f>"ASCL2"</f>
        <v>ASCL2</v>
      </c>
      <c r="B1096" t="s">
        <v>8</v>
      </c>
    </row>
    <row r="1097" spans="1:2" x14ac:dyDescent="0.2">
      <c r="A1097" t="str">
        <f>"ASCL3"</f>
        <v>ASCL3</v>
      </c>
      <c r="B1097" t="s">
        <v>8</v>
      </c>
    </row>
    <row r="1098" spans="1:2" x14ac:dyDescent="0.2">
      <c r="A1098" t="str">
        <f>"ASCL4"</f>
        <v>ASCL4</v>
      </c>
      <c r="B1098" t="s">
        <v>8</v>
      </c>
    </row>
    <row r="1099" spans="1:2" x14ac:dyDescent="0.2">
      <c r="A1099" t="str">
        <f>"ASCL5"</f>
        <v>ASCL5</v>
      </c>
      <c r="B1099" t="s">
        <v>8</v>
      </c>
    </row>
    <row r="1100" spans="1:2" x14ac:dyDescent="0.2">
      <c r="A1100" t="str">
        <f>"ASF1A"</f>
        <v>ASF1A</v>
      </c>
      <c r="B1100" t="s">
        <v>3</v>
      </c>
    </row>
    <row r="1101" spans="1:2" x14ac:dyDescent="0.2">
      <c r="A1101" t="str">
        <f>"ASF1B"</f>
        <v>ASF1B</v>
      </c>
      <c r="B1101" t="s">
        <v>8</v>
      </c>
    </row>
    <row r="1102" spans="1:2" x14ac:dyDescent="0.2">
      <c r="A1102" t="str">
        <f>"ASGR1"</f>
        <v>ASGR1</v>
      </c>
      <c r="B1102" t="s">
        <v>2</v>
      </c>
    </row>
    <row r="1103" spans="1:2" x14ac:dyDescent="0.2">
      <c r="A1103" t="str">
        <f>"ASGR2"</f>
        <v>ASGR2</v>
      </c>
      <c r="B1103" t="s">
        <v>7</v>
      </c>
    </row>
    <row r="1104" spans="1:2" x14ac:dyDescent="0.2">
      <c r="A1104" t="str">
        <f>"ASH1L"</f>
        <v>ASH1L</v>
      </c>
      <c r="B1104" t="s">
        <v>8</v>
      </c>
    </row>
    <row r="1105" spans="1:2" x14ac:dyDescent="0.2">
      <c r="A1105" t="str">
        <f>"ASH2L"</f>
        <v>ASH2L</v>
      </c>
      <c r="B1105" t="s">
        <v>8</v>
      </c>
    </row>
    <row r="1106" spans="1:2" x14ac:dyDescent="0.2">
      <c r="A1106" t="str">
        <f>"ASIC1"</f>
        <v>ASIC1</v>
      </c>
      <c r="B1106" t="s">
        <v>5</v>
      </c>
    </row>
    <row r="1107" spans="1:2" x14ac:dyDescent="0.2">
      <c r="A1107" t="str">
        <f>"ASIC2"</f>
        <v>ASIC2</v>
      </c>
      <c r="B1107" t="s">
        <v>4</v>
      </c>
    </row>
    <row r="1108" spans="1:2" x14ac:dyDescent="0.2">
      <c r="A1108" t="str">
        <f>"ASIC3"</f>
        <v>ASIC3</v>
      </c>
      <c r="B1108" t="s">
        <v>4</v>
      </c>
    </row>
    <row r="1109" spans="1:2" x14ac:dyDescent="0.2">
      <c r="A1109" t="str">
        <f>"ASIC4"</f>
        <v>ASIC4</v>
      </c>
      <c r="B1109" t="s">
        <v>4</v>
      </c>
    </row>
    <row r="1110" spans="1:2" x14ac:dyDescent="0.2">
      <c r="A1110" t="str">
        <f>"ASIC5"</f>
        <v>ASIC5</v>
      </c>
      <c r="B1110" t="s">
        <v>5</v>
      </c>
    </row>
    <row r="1111" spans="1:2" x14ac:dyDescent="0.2">
      <c r="A1111" t="str">
        <f>"ASIP"</f>
        <v>ASIP</v>
      </c>
      <c r="B1111" t="s">
        <v>4</v>
      </c>
    </row>
    <row r="1112" spans="1:2" x14ac:dyDescent="0.2">
      <c r="A1112" t="str">
        <f>"ASL"</f>
        <v>ASL</v>
      </c>
      <c r="B1112" t="s">
        <v>3</v>
      </c>
    </row>
    <row r="1113" spans="1:2" x14ac:dyDescent="0.2">
      <c r="A1113" t="str">
        <f>"ASMT"</f>
        <v>ASMT</v>
      </c>
      <c r="B1113" t="s">
        <v>3</v>
      </c>
    </row>
    <row r="1114" spans="1:2" x14ac:dyDescent="0.2">
      <c r="A1114" t="str">
        <f>"ASMTL"</f>
        <v>ASMTL</v>
      </c>
      <c r="B1114" t="s">
        <v>6</v>
      </c>
    </row>
    <row r="1115" spans="1:2" x14ac:dyDescent="0.2">
      <c r="A1115" t="str">
        <f>"ASNA1"</f>
        <v>ASNA1</v>
      </c>
      <c r="B1115" t="s">
        <v>7</v>
      </c>
    </row>
    <row r="1116" spans="1:2" x14ac:dyDescent="0.2">
      <c r="A1116" t="str">
        <f>"ASNS"</f>
        <v>ASNS</v>
      </c>
      <c r="B1116" t="s">
        <v>3</v>
      </c>
    </row>
    <row r="1117" spans="1:2" x14ac:dyDescent="0.2">
      <c r="A1117" t="str">
        <f>"ASNSD1"</f>
        <v>ASNSD1</v>
      </c>
      <c r="B1117" t="s">
        <v>4</v>
      </c>
    </row>
    <row r="1118" spans="1:2" x14ac:dyDescent="0.2">
      <c r="A1118" t="str">
        <f>"ASPA"</f>
        <v>ASPA</v>
      </c>
      <c r="B1118" t="s">
        <v>7</v>
      </c>
    </row>
    <row r="1119" spans="1:2" x14ac:dyDescent="0.2">
      <c r="A1119" t="str">
        <f>"ASPDH"</f>
        <v>ASPDH</v>
      </c>
      <c r="B1119" t="s">
        <v>4</v>
      </c>
    </row>
    <row r="1120" spans="1:2" x14ac:dyDescent="0.2">
      <c r="A1120" t="str">
        <f>"ASPG"</f>
        <v>ASPG</v>
      </c>
      <c r="B1120" t="s">
        <v>4</v>
      </c>
    </row>
    <row r="1121" spans="1:2" x14ac:dyDescent="0.2">
      <c r="A1121" t="str">
        <f>"ASPH"</f>
        <v>ASPH</v>
      </c>
      <c r="B1121" t="s">
        <v>3</v>
      </c>
    </row>
    <row r="1122" spans="1:2" x14ac:dyDescent="0.2">
      <c r="A1122" t="str">
        <f>"ASPHD1"</f>
        <v>ASPHD1</v>
      </c>
      <c r="B1122" t="s">
        <v>2</v>
      </c>
    </row>
    <row r="1123" spans="1:2" x14ac:dyDescent="0.2">
      <c r="A1123" t="str">
        <f>"ASPHD2"</f>
        <v>ASPHD2</v>
      </c>
      <c r="B1123" t="s">
        <v>6</v>
      </c>
    </row>
    <row r="1124" spans="1:2" x14ac:dyDescent="0.2">
      <c r="A1124" t="str">
        <f>"ASPM"</f>
        <v>ASPM</v>
      </c>
      <c r="B1124" t="s">
        <v>3</v>
      </c>
    </row>
    <row r="1125" spans="1:2" x14ac:dyDescent="0.2">
      <c r="A1125" t="str">
        <f>"ASPN"</f>
        <v>ASPN</v>
      </c>
      <c r="B1125" t="s">
        <v>4</v>
      </c>
    </row>
    <row r="1126" spans="1:2" x14ac:dyDescent="0.2">
      <c r="A1126" t="str">
        <f>"ASPRV1"</f>
        <v>ASPRV1</v>
      </c>
      <c r="B1126" t="s">
        <v>2</v>
      </c>
    </row>
    <row r="1127" spans="1:2" x14ac:dyDescent="0.2">
      <c r="A1127" t="str">
        <f>"ASPSCR1"</f>
        <v>ASPSCR1</v>
      </c>
      <c r="B1127" t="s">
        <v>3</v>
      </c>
    </row>
    <row r="1128" spans="1:2" x14ac:dyDescent="0.2">
      <c r="A1128" t="str">
        <f>"ASRGL1"</f>
        <v>ASRGL1</v>
      </c>
      <c r="B1128" t="s">
        <v>7</v>
      </c>
    </row>
    <row r="1129" spans="1:2" x14ac:dyDescent="0.2">
      <c r="A1129" t="str">
        <f>"ASS1"</f>
        <v>ASS1</v>
      </c>
      <c r="B1129" t="s">
        <v>7</v>
      </c>
    </row>
    <row r="1130" spans="1:2" x14ac:dyDescent="0.2">
      <c r="A1130" t="str">
        <f>"ASTE1"</f>
        <v>ASTE1</v>
      </c>
      <c r="B1130" t="s">
        <v>4</v>
      </c>
    </row>
    <row r="1131" spans="1:2" x14ac:dyDescent="0.2">
      <c r="A1131" t="str">
        <f>"ASTL"</f>
        <v>ASTL</v>
      </c>
      <c r="B1131" t="s">
        <v>2</v>
      </c>
    </row>
    <row r="1132" spans="1:2" x14ac:dyDescent="0.2">
      <c r="A1132" t="str">
        <f>"ASTN1"</f>
        <v>ASTN1</v>
      </c>
      <c r="B1132" t="s">
        <v>3</v>
      </c>
    </row>
    <row r="1133" spans="1:2" x14ac:dyDescent="0.2">
      <c r="A1133" t="str">
        <f>"ASTN2"</f>
        <v>ASTN2</v>
      </c>
      <c r="B1133" t="s">
        <v>4</v>
      </c>
    </row>
    <row r="1134" spans="1:2" x14ac:dyDescent="0.2">
      <c r="A1134" t="str">
        <f>"ASUN"</f>
        <v>ASUN</v>
      </c>
      <c r="B1134" t="s">
        <v>4</v>
      </c>
    </row>
    <row r="1135" spans="1:2" x14ac:dyDescent="0.2">
      <c r="A1135" t="str">
        <f>"ASXL1"</f>
        <v>ASXL1</v>
      </c>
      <c r="B1135" t="s">
        <v>8</v>
      </c>
    </row>
    <row r="1136" spans="1:2" x14ac:dyDescent="0.2">
      <c r="A1136" t="str">
        <f>"ASXL2"</f>
        <v>ASXL2</v>
      </c>
      <c r="B1136" t="s">
        <v>6</v>
      </c>
    </row>
    <row r="1137" spans="1:2" x14ac:dyDescent="0.2">
      <c r="A1137" t="str">
        <f>"ASXL3"</f>
        <v>ASXL3</v>
      </c>
      <c r="B1137" t="s">
        <v>4</v>
      </c>
    </row>
    <row r="1138" spans="1:2" x14ac:dyDescent="0.2">
      <c r="A1138" t="str">
        <f>"ASZ1"</f>
        <v>ASZ1</v>
      </c>
      <c r="B1138" t="s">
        <v>2</v>
      </c>
    </row>
    <row r="1139" spans="1:2" x14ac:dyDescent="0.2">
      <c r="A1139" t="str">
        <f>"ATAD1"</f>
        <v>ATAD1</v>
      </c>
      <c r="B1139" t="s">
        <v>6</v>
      </c>
    </row>
    <row r="1140" spans="1:2" x14ac:dyDescent="0.2">
      <c r="A1140" t="str">
        <f>"ATAD2"</f>
        <v>ATAD2</v>
      </c>
      <c r="B1140" t="s">
        <v>2</v>
      </c>
    </row>
    <row r="1141" spans="1:2" x14ac:dyDescent="0.2">
      <c r="A1141" t="str">
        <f>"ATAD2B"</f>
        <v>ATAD2B</v>
      </c>
      <c r="B1141" t="s">
        <v>4</v>
      </c>
    </row>
    <row r="1142" spans="1:2" x14ac:dyDescent="0.2">
      <c r="A1142" t="str">
        <f>"ATAD3A"</f>
        <v>ATAD3A</v>
      </c>
      <c r="B1142" t="s">
        <v>6</v>
      </c>
    </row>
    <row r="1143" spans="1:2" x14ac:dyDescent="0.2">
      <c r="A1143" t="str">
        <f>"ATAD3B"</f>
        <v>ATAD3B</v>
      </c>
      <c r="B1143" t="s">
        <v>6</v>
      </c>
    </row>
    <row r="1144" spans="1:2" x14ac:dyDescent="0.2">
      <c r="A1144" t="str">
        <f>"ATAD3C"</f>
        <v>ATAD3C</v>
      </c>
      <c r="B1144" t="s">
        <v>4</v>
      </c>
    </row>
    <row r="1145" spans="1:2" x14ac:dyDescent="0.2">
      <c r="A1145" t="str">
        <f>"ATAD5"</f>
        <v>ATAD5</v>
      </c>
      <c r="B1145" t="s">
        <v>4</v>
      </c>
    </row>
    <row r="1146" spans="1:2" x14ac:dyDescent="0.2">
      <c r="A1146" t="str">
        <f>"ATAT1"</f>
        <v>ATAT1</v>
      </c>
      <c r="B1146" t="s">
        <v>4</v>
      </c>
    </row>
    <row r="1147" spans="1:2" x14ac:dyDescent="0.2">
      <c r="A1147" t="str">
        <f>"ATCAY"</f>
        <v>ATCAY</v>
      </c>
      <c r="B1147" t="s">
        <v>6</v>
      </c>
    </row>
    <row r="1148" spans="1:2" x14ac:dyDescent="0.2">
      <c r="A1148" t="str">
        <f>"ATE1"</f>
        <v>ATE1</v>
      </c>
      <c r="B1148" t="s">
        <v>2</v>
      </c>
    </row>
    <row r="1149" spans="1:2" x14ac:dyDescent="0.2">
      <c r="A1149" t="str">
        <f>"ATF1"</f>
        <v>ATF1</v>
      </c>
      <c r="B1149" t="s">
        <v>3</v>
      </c>
    </row>
    <row r="1150" spans="1:2" x14ac:dyDescent="0.2">
      <c r="A1150" t="str">
        <f>"ATF2"</f>
        <v>ATF2</v>
      </c>
      <c r="B1150" t="s">
        <v>2</v>
      </c>
    </row>
    <row r="1151" spans="1:2" x14ac:dyDescent="0.2">
      <c r="A1151" t="str">
        <f>"ATF3"</f>
        <v>ATF3</v>
      </c>
      <c r="B1151" t="s">
        <v>2</v>
      </c>
    </row>
    <row r="1152" spans="1:2" x14ac:dyDescent="0.2">
      <c r="A1152" t="str">
        <f>"ATF4"</f>
        <v>ATF4</v>
      </c>
      <c r="B1152" t="s">
        <v>2</v>
      </c>
    </row>
    <row r="1153" spans="1:2" x14ac:dyDescent="0.2">
      <c r="A1153" t="str">
        <f>"ATF5"</f>
        <v>ATF5</v>
      </c>
      <c r="B1153" t="s">
        <v>2</v>
      </c>
    </row>
    <row r="1154" spans="1:2" x14ac:dyDescent="0.2">
      <c r="A1154" t="str">
        <f>"ATF6"</f>
        <v>ATF6</v>
      </c>
      <c r="B1154" t="s">
        <v>2</v>
      </c>
    </row>
    <row r="1155" spans="1:2" x14ac:dyDescent="0.2">
      <c r="A1155" t="str">
        <f>"ATF6B"</f>
        <v>ATF6B</v>
      </c>
      <c r="B1155" t="s">
        <v>2</v>
      </c>
    </row>
    <row r="1156" spans="1:2" x14ac:dyDescent="0.2">
      <c r="A1156" t="str">
        <f>"ATF7"</f>
        <v>ATF7</v>
      </c>
      <c r="B1156" t="s">
        <v>2</v>
      </c>
    </row>
    <row r="1157" spans="1:2" x14ac:dyDescent="0.2">
      <c r="A1157" t="str">
        <f>"ATF7IP"</f>
        <v>ATF7IP</v>
      </c>
      <c r="B1157" t="s">
        <v>8</v>
      </c>
    </row>
    <row r="1158" spans="1:2" x14ac:dyDescent="0.2">
      <c r="A1158" t="str">
        <f>"ATF7IP2"</f>
        <v>ATF7IP2</v>
      </c>
      <c r="B1158" t="s">
        <v>8</v>
      </c>
    </row>
    <row r="1159" spans="1:2" x14ac:dyDescent="0.2">
      <c r="A1159" t="str">
        <f>"ATG10"</f>
        <v>ATG10</v>
      </c>
      <c r="B1159" t="s">
        <v>3</v>
      </c>
    </row>
    <row r="1160" spans="1:2" x14ac:dyDescent="0.2">
      <c r="A1160" t="str">
        <f>"ATG12"</f>
        <v>ATG12</v>
      </c>
      <c r="B1160" t="s">
        <v>3</v>
      </c>
    </row>
    <row r="1161" spans="1:2" x14ac:dyDescent="0.2">
      <c r="A1161" t="str">
        <f>"ATG13"</f>
        <v>ATG13</v>
      </c>
      <c r="B1161" t="s">
        <v>2</v>
      </c>
    </row>
    <row r="1162" spans="1:2" x14ac:dyDescent="0.2">
      <c r="A1162" t="str">
        <f>"ATG14"</f>
        <v>ATG14</v>
      </c>
      <c r="B1162" t="s">
        <v>3</v>
      </c>
    </row>
    <row r="1163" spans="1:2" x14ac:dyDescent="0.2">
      <c r="A1163" t="str">
        <f>"ATG16L1"</f>
        <v>ATG16L1</v>
      </c>
      <c r="B1163" t="s">
        <v>2</v>
      </c>
    </row>
    <row r="1164" spans="1:2" x14ac:dyDescent="0.2">
      <c r="A1164" t="str">
        <f>"ATG16L2"</f>
        <v>ATG16L2</v>
      </c>
      <c r="B1164" t="s">
        <v>4</v>
      </c>
    </row>
    <row r="1165" spans="1:2" x14ac:dyDescent="0.2">
      <c r="A1165" t="str">
        <f>"ATG2A"</f>
        <v>ATG2A</v>
      </c>
      <c r="B1165" t="s">
        <v>2</v>
      </c>
    </row>
    <row r="1166" spans="1:2" x14ac:dyDescent="0.2">
      <c r="A1166" t="str">
        <f>"ATG2B"</f>
        <v>ATG2B</v>
      </c>
      <c r="B1166" t="s">
        <v>4</v>
      </c>
    </row>
    <row r="1167" spans="1:2" x14ac:dyDescent="0.2">
      <c r="A1167" t="str">
        <f>"ATG3"</f>
        <v>ATG3</v>
      </c>
      <c r="B1167" t="s">
        <v>3</v>
      </c>
    </row>
    <row r="1168" spans="1:2" x14ac:dyDescent="0.2">
      <c r="A1168" t="str">
        <f>"ATG4A"</f>
        <v>ATG4A</v>
      </c>
      <c r="B1168" t="s">
        <v>3</v>
      </c>
    </row>
    <row r="1169" spans="1:2" x14ac:dyDescent="0.2">
      <c r="A1169" t="str">
        <f>"ATG4B"</f>
        <v>ATG4B</v>
      </c>
      <c r="B1169" t="s">
        <v>2</v>
      </c>
    </row>
    <row r="1170" spans="1:2" x14ac:dyDescent="0.2">
      <c r="A1170" t="str">
        <f>"ATG4C"</f>
        <v>ATG4C</v>
      </c>
      <c r="B1170" t="s">
        <v>2</v>
      </c>
    </row>
    <row r="1171" spans="1:2" x14ac:dyDescent="0.2">
      <c r="A1171" t="str">
        <f>"ATG4D"</f>
        <v>ATG4D</v>
      </c>
      <c r="B1171" t="s">
        <v>2</v>
      </c>
    </row>
    <row r="1172" spans="1:2" x14ac:dyDescent="0.2">
      <c r="A1172" t="str">
        <f>"ATG5"</f>
        <v>ATG5</v>
      </c>
      <c r="B1172" t="s">
        <v>3</v>
      </c>
    </row>
    <row r="1173" spans="1:2" x14ac:dyDescent="0.2">
      <c r="A1173" t="str">
        <f>"ATG7"</f>
        <v>ATG7</v>
      </c>
      <c r="B1173" t="s">
        <v>3</v>
      </c>
    </row>
    <row r="1174" spans="1:2" x14ac:dyDescent="0.2">
      <c r="A1174" t="str">
        <f>"ATG9A"</f>
        <v>ATG9A</v>
      </c>
      <c r="B1174" t="s">
        <v>2</v>
      </c>
    </row>
    <row r="1175" spans="1:2" x14ac:dyDescent="0.2">
      <c r="A1175" t="str">
        <f>"ATG9B"</f>
        <v>ATG9B</v>
      </c>
      <c r="B1175" t="s">
        <v>2</v>
      </c>
    </row>
    <row r="1176" spans="1:2" x14ac:dyDescent="0.2">
      <c r="A1176" t="str">
        <f>"ATHL1"</f>
        <v>ATHL1</v>
      </c>
      <c r="B1176" t="s">
        <v>2</v>
      </c>
    </row>
    <row r="1177" spans="1:2" x14ac:dyDescent="0.2">
      <c r="A1177" t="str">
        <f>"ATIC"</f>
        <v>ATIC</v>
      </c>
      <c r="B1177" t="s">
        <v>3</v>
      </c>
    </row>
    <row r="1178" spans="1:2" x14ac:dyDescent="0.2">
      <c r="A1178" t="str">
        <f>"ATL1"</f>
        <v>ATL1</v>
      </c>
      <c r="B1178" t="s">
        <v>8</v>
      </c>
    </row>
    <row r="1179" spans="1:2" x14ac:dyDescent="0.2">
      <c r="A1179" t="str">
        <f>"ATL2"</f>
        <v>ATL2</v>
      </c>
      <c r="B1179" t="s">
        <v>6</v>
      </c>
    </row>
    <row r="1180" spans="1:2" x14ac:dyDescent="0.2">
      <c r="A1180" t="str">
        <f>"ATL3"</f>
        <v>ATL3</v>
      </c>
      <c r="B1180" t="s">
        <v>2</v>
      </c>
    </row>
    <row r="1181" spans="1:2" x14ac:dyDescent="0.2">
      <c r="A1181" t="str">
        <f>"ATM"</f>
        <v>ATM</v>
      </c>
      <c r="B1181" t="s">
        <v>7</v>
      </c>
    </row>
    <row r="1182" spans="1:2" x14ac:dyDescent="0.2">
      <c r="A1182" t="str">
        <f>"ATMIN"</f>
        <v>ATMIN</v>
      </c>
      <c r="B1182" t="s">
        <v>8</v>
      </c>
    </row>
    <row r="1183" spans="1:2" x14ac:dyDescent="0.2">
      <c r="A1183" t="str">
        <f>"ATN1"</f>
        <v>ATN1</v>
      </c>
      <c r="B1183" t="s">
        <v>8</v>
      </c>
    </row>
    <row r="1184" spans="1:2" x14ac:dyDescent="0.2">
      <c r="A1184" t="str">
        <f>"ATOH1"</f>
        <v>ATOH1</v>
      </c>
      <c r="B1184" t="s">
        <v>8</v>
      </c>
    </row>
    <row r="1185" spans="1:2" x14ac:dyDescent="0.2">
      <c r="A1185" t="str">
        <f>"ATOH7"</f>
        <v>ATOH7</v>
      </c>
      <c r="B1185" t="s">
        <v>3</v>
      </c>
    </row>
    <row r="1186" spans="1:2" x14ac:dyDescent="0.2">
      <c r="A1186" t="str">
        <f>"ATOH8"</f>
        <v>ATOH8</v>
      </c>
      <c r="B1186" t="s">
        <v>8</v>
      </c>
    </row>
    <row r="1187" spans="1:2" x14ac:dyDescent="0.2">
      <c r="A1187" t="str">
        <f>"ATOX1"</f>
        <v>ATOX1</v>
      </c>
      <c r="B1187" t="s">
        <v>7</v>
      </c>
    </row>
    <row r="1188" spans="1:2" x14ac:dyDescent="0.2">
      <c r="A1188" t="str">
        <f>"ATP10A"</f>
        <v>ATP10A</v>
      </c>
      <c r="B1188" t="s">
        <v>5</v>
      </c>
    </row>
    <row r="1189" spans="1:2" x14ac:dyDescent="0.2">
      <c r="A1189" t="str">
        <f>"ATP10B"</f>
        <v>ATP10B</v>
      </c>
      <c r="B1189" t="s">
        <v>2</v>
      </c>
    </row>
    <row r="1190" spans="1:2" x14ac:dyDescent="0.2">
      <c r="A1190" t="str">
        <f>"ATP10D"</f>
        <v>ATP10D</v>
      </c>
      <c r="B1190" t="s">
        <v>6</v>
      </c>
    </row>
    <row r="1191" spans="1:2" x14ac:dyDescent="0.2">
      <c r="A1191" t="str">
        <f>"ATP11A"</f>
        <v>ATP11A</v>
      </c>
      <c r="B1191" t="s">
        <v>3</v>
      </c>
    </row>
    <row r="1192" spans="1:2" x14ac:dyDescent="0.2">
      <c r="A1192" t="str">
        <f>"ATP11B"</f>
        <v>ATP11B</v>
      </c>
      <c r="B1192" t="s">
        <v>5</v>
      </c>
    </row>
    <row r="1193" spans="1:2" x14ac:dyDescent="0.2">
      <c r="A1193" t="str">
        <f>"ATP11C"</f>
        <v>ATP11C</v>
      </c>
      <c r="B1193" t="s">
        <v>5</v>
      </c>
    </row>
    <row r="1194" spans="1:2" x14ac:dyDescent="0.2">
      <c r="A1194" t="str">
        <f>"ATP12A"</f>
        <v>ATP12A</v>
      </c>
      <c r="B1194" t="s">
        <v>5</v>
      </c>
    </row>
    <row r="1195" spans="1:2" x14ac:dyDescent="0.2">
      <c r="A1195" t="str">
        <f>"ATP13A1"</f>
        <v>ATP13A1</v>
      </c>
      <c r="B1195" t="s">
        <v>3</v>
      </c>
    </row>
    <row r="1196" spans="1:2" x14ac:dyDescent="0.2">
      <c r="A1196" t="str">
        <f>"ATP13A2"</f>
        <v>ATP13A2</v>
      </c>
      <c r="B1196" t="s">
        <v>5</v>
      </c>
    </row>
    <row r="1197" spans="1:2" x14ac:dyDescent="0.2">
      <c r="A1197" t="str">
        <f>"ATP13A3"</f>
        <v>ATP13A3</v>
      </c>
      <c r="B1197" t="s">
        <v>6</v>
      </c>
    </row>
    <row r="1198" spans="1:2" x14ac:dyDescent="0.2">
      <c r="A1198" t="str">
        <f>"ATP13A4"</f>
        <v>ATP13A4</v>
      </c>
      <c r="B1198" t="s">
        <v>5</v>
      </c>
    </row>
    <row r="1199" spans="1:2" x14ac:dyDescent="0.2">
      <c r="A1199" t="str">
        <f>"ATP13A5"</f>
        <v>ATP13A5</v>
      </c>
      <c r="B1199" t="s">
        <v>5</v>
      </c>
    </row>
    <row r="1200" spans="1:2" x14ac:dyDescent="0.2">
      <c r="A1200" t="str">
        <f>"ATP1A1"</f>
        <v>ATP1A1</v>
      </c>
      <c r="B1200" t="s">
        <v>7</v>
      </c>
    </row>
    <row r="1201" spans="1:2" x14ac:dyDescent="0.2">
      <c r="A1201" t="str">
        <f>"ATP1A2"</f>
        <v>ATP1A2</v>
      </c>
      <c r="B1201" t="s">
        <v>6</v>
      </c>
    </row>
    <row r="1202" spans="1:2" x14ac:dyDescent="0.2">
      <c r="A1202" t="str">
        <f>"ATP1A3"</f>
        <v>ATP1A3</v>
      </c>
      <c r="B1202" t="s">
        <v>2</v>
      </c>
    </row>
    <row r="1203" spans="1:2" x14ac:dyDescent="0.2">
      <c r="A1203" t="str">
        <f>"ATP1A4"</f>
        <v>ATP1A4</v>
      </c>
      <c r="B1203" t="s">
        <v>5</v>
      </c>
    </row>
    <row r="1204" spans="1:2" x14ac:dyDescent="0.2">
      <c r="A1204" t="str">
        <f>"ATP1B1"</f>
        <v>ATP1B1</v>
      </c>
      <c r="B1204" t="s">
        <v>5</v>
      </c>
    </row>
    <row r="1205" spans="1:2" x14ac:dyDescent="0.2">
      <c r="A1205" t="str">
        <f>"ATP1B2"</f>
        <v>ATP1B2</v>
      </c>
      <c r="B1205" t="s">
        <v>5</v>
      </c>
    </row>
    <row r="1206" spans="1:2" x14ac:dyDescent="0.2">
      <c r="A1206" t="str">
        <f>"ATP1B3"</f>
        <v>ATP1B3</v>
      </c>
      <c r="B1206" t="s">
        <v>5</v>
      </c>
    </row>
    <row r="1207" spans="1:2" x14ac:dyDescent="0.2">
      <c r="A1207" t="str">
        <f>"ATP1B4"</f>
        <v>ATP1B4</v>
      </c>
      <c r="B1207" t="s">
        <v>5</v>
      </c>
    </row>
    <row r="1208" spans="1:2" x14ac:dyDescent="0.2">
      <c r="A1208" t="str">
        <f>"ATP2A1"</f>
        <v>ATP2A1</v>
      </c>
      <c r="B1208" t="s">
        <v>7</v>
      </c>
    </row>
    <row r="1209" spans="1:2" x14ac:dyDescent="0.2">
      <c r="A1209" t="str">
        <f>"ATP2A2"</f>
        <v>ATP2A2</v>
      </c>
      <c r="B1209" t="s">
        <v>2</v>
      </c>
    </row>
    <row r="1210" spans="1:2" x14ac:dyDescent="0.2">
      <c r="A1210" t="str">
        <f>"ATP2A3"</f>
        <v>ATP2A3</v>
      </c>
      <c r="B1210" t="s">
        <v>6</v>
      </c>
    </row>
    <row r="1211" spans="1:2" x14ac:dyDescent="0.2">
      <c r="A1211" t="str">
        <f>"ATP2B1"</f>
        <v>ATP2B1</v>
      </c>
      <c r="B1211" t="s">
        <v>5</v>
      </c>
    </row>
    <row r="1212" spans="1:2" x14ac:dyDescent="0.2">
      <c r="A1212" t="str">
        <f>"ATP2B2"</f>
        <v>ATP2B2</v>
      </c>
      <c r="B1212" t="s">
        <v>2</v>
      </c>
    </row>
    <row r="1213" spans="1:2" x14ac:dyDescent="0.2">
      <c r="A1213" t="str">
        <f>"ATP2B3"</f>
        <v>ATP2B3</v>
      </c>
      <c r="B1213" t="s">
        <v>2</v>
      </c>
    </row>
    <row r="1214" spans="1:2" x14ac:dyDescent="0.2">
      <c r="A1214" t="str">
        <f>"ATP2B4"</f>
        <v>ATP2B4</v>
      </c>
      <c r="B1214" t="s">
        <v>5</v>
      </c>
    </row>
    <row r="1215" spans="1:2" x14ac:dyDescent="0.2">
      <c r="A1215" t="str">
        <f>"ATP2C1"</f>
        <v>ATP2C1</v>
      </c>
      <c r="B1215" t="s">
        <v>7</v>
      </c>
    </row>
    <row r="1216" spans="1:2" x14ac:dyDescent="0.2">
      <c r="A1216" t="str">
        <f>"ATP2C2"</f>
        <v>ATP2C2</v>
      </c>
      <c r="B1216" t="s">
        <v>5</v>
      </c>
    </row>
    <row r="1217" spans="1:2" x14ac:dyDescent="0.2">
      <c r="A1217" t="str">
        <f>"ATP4A"</f>
        <v>ATP4A</v>
      </c>
      <c r="B1217" t="s">
        <v>7</v>
      </c>
    </row>
    <row r="1218" spans="1:2" x14ac:dyDescent="0.2">
      <c r="A1218" t="str">
        <f>"ATP4B"</f>
        <v>ATP4B</v>
      </c>
      <c r="B1218" t="s">
        <v>5</v>
      </c>
    </row>
    <row r="1219" spans="1:2" x14ac:dyDescent="0.2">
      <c r="A1219" t="str">
        <f>"ATP5A1"</f>
        <v>ATP5A1</v>
      </c>
      <c r="B1219" t="s">
        <v>7</v>
      </c>
    </row>
    <row r="1220" spans="1:2" x14ac:dyDescent="0.2">
      <c r="A1220" t="str">
        <f>"ATP5B"</f>
        <v>ATP5B</v>
      </c>
      <c r="B1220" t="s">
        <v>7</v>
      </c>
    </row>
    <row r="1221" spans="1:2" x14ac:dyDescent="0.2">
      <c r="A1221" t="str">
        <f>"ATP5C1"</f>
        <v>ATP5C1</v>
      </c>
      <c r="B1221" t="s">
        <v>7</v>
      </c>
    </row>
    <row r="1222" spans="1:2" x14ac:dyDescent="0.2">
      <c r="A1222" t="str">
        <f>"ATP5D"</f>
        <v>ATP5D</v>
      </c>
      <c r="B1222" t="s">
        <v>3</v>
      </c>
    </row>
    <row r="1223" spans="1:2" x14ac:dyDescent="0.2">
      <c r="A1223" t="str">
        <f>"ATP5E"</f>
        <v>ATP5E</v>
      </c>
      <c r="B1223" t="s">
        <v>6</v>
      </c>
    </row>
    <row r="1224" spans="1:2" x14ac:dyDescent="0.2">
      <c r="A1224" t="str">
        <f>"ATP5F1"</f>
        <v>ATP5F1</v>
      </c>
      <c r="B1224" t="s">
        <v>2</v>
      </c>
    </row>
    <row r="1225" spans="1:2" x14ac:dyDescent="0.2">
      <c r="A1225" t="str">
        <f>"ATP5G1"</f>
        <v>ATP5G1</v>
      </c>
      <c r="B1225" t="s">
        <v>2</v>
      </c>
    </row>
    <row r="1226" spans="1:2" x14ac:dyDescent="0.2">
      <c r="A1226" t="str">
        <f>"ATP5G2"</f>
        <v>ATP5G2</v>
      </c>
      <c r="B1226" t="s">
        <v>2</v>
      </c>
    </row>
    <row r="1227" spans="1:2" x14ac:dyDescent="0.2">
      <c r="A1227" t="str">
        <f>"ATP5G3"</f>
        <v>ATP5G3</v>
      </c>
      <c r="B1227" t="s">
        <v>2</v>
      </c>
    </row>
    <row r="1228" spans="1:2" x14ac:dyDescent="0.2">
      <c r="A1228" t="str">
        <f>"ATP5H"</f>
        <v>ATP5H</v>
      </c>
      <c r="B1228" t="s">
        <v>2</v>
      </c>
    </row>
    <row r="1229" spans="1:2" x14ac:dyDescent="0.2">
      <c r="A1229" t="str">
        <f>"ATP5I"</f>
        <v>ATP5I</v>
      </c>
      <c r="B1229" t="s">
        <v>2</v>
      </c>
    </row>
    <row r="1230" spans="1:2" x14ac:dyDescent="0.2">
      <c r="A1230" t="str">
        <f>"ATP5J"</f>
        <v>ATP5J</v>
      </c>
      <c r="B1230" t="s">
        <v>2</v>
      </c>
    </row>
    <row r="1231" spans="1:2" x14ac:dyDescent="0.2">
      <c r="A1231" t="str">
        <f>"ATP5J2"</f>
        <v>ATP5J2</v>
      </c>
      <c r="B1231" t="s">
        <v>3</v>
      </c>
    </row>
    <row r="1232" spans="1:2" x14ac:dyDescent="0.2">
      <c r="A1232" t="str">
        <f>"ATP5J2-PTCD1"</f>
        <v>ATP5J2-PTCD1</v>
      </c>
      <c r="B1232" t="s">
        <v>4</v>
      </c>
    </row>
    <row r="1233" spans="1:2" x14ac:dyDescent="0.2">
      <c r="A1233" t="str">
        <f>"ATP5L"</f>
        <v>ATP5L</v>
      </c>
      <c r="B1233" t="s">
        <v>2</v>
      </c>
    </row>
    <row r="1234" spans="1:2" x14ac:dyDescent="0.2">
      <c r="A1234" t="str">
        <f>"ATP5L2"</f>
        <v>ATP5L2</v>
      </c>
      <c r="B1234" t="s">
        <v>6</v>
      </c>
    </row>
    <row r="1235" spans="1:2" x14ac:dyDescent="0.2">
      <c r="A1235" t="str">
        <f>"ATP5O"</f>
        <v>ATP5O</v>
      </c>
      <c r="B1235" t="s">
        <v>2</v>
      </c>
    </row>
    <row r="1236" spans="1:2" x14ac:dyDescent="0.2">
      <c r="A1236" t="str">
        <f>"ATP5S"</f>
        <v>ATP5S</v>
      </c>
      <c r="B1236" t="s">
        <v>6</v>
      </c>
    </row>
    <row r="1237" spans="1:2" x14ac:dyDescent="0.2">
      <c r="A1237" t="str">
        <f>"ATP5SL"</f>
        <v>ATP5SL</v>
      </c>
      <c r="B1237" t="s">
        <v>6</v>
      </c>
    </row>
    <row r="1238" spans="1:2" x14ac:dyDescent="0.2">
      <c r="A1238" t="str">
        <f>"ATP6AP1"</f>
        <v>ATP6AP1</v>
      </c>
      <c r="B1238" t="s">
        <v>2</v>
      </c>
    </row>
    <row r="1239" spans="1:2" x14ac:dyDescent="0.2">
      <c r="A1239" t="str">
        <f>"ATP6AP1L"</f>
        <v>ATP6AP1L</v>
      </c>
      <c r="B1239" t="s">
        <v>2</v>
      </c>
    </row>
    <row r="1240" spans="1:2" x14ac:dyDescent="0.2">
      <c r="A1240" t="str">
        <f>"ATP6AP2"</f>
        <v>ATP6AP2</v>
      </c>
      <c r="B1240" t="s">
        <v>5</v>
      </c>
    </row>
    <row r="1241" spans="1:2" x14ac:dyDescent="0.2">
      <c r="A1241" t="str">
        <f>"ATP6V0A1"</f>
        <v>ATP6V0A1</v>
      </c>
      <c r="B1241" t="s">
        <v>3</v>
      </c>
    </row>
    <row r="1242" spans="1:2" x14ac:dyDescent="0.2">
      <c r="A1242" t="str">
        <f>"ATP6V0A2"</f>
        <v>ATP6V0A2</v>
      </c>
      <c r="B1242" t="s">
        <v>2</v>
      </c>
    </row>
    <row r="1243" spans="1:2" x14ac:dyDescent="0.2">
      <c r="A1243" t="str">
        <f>"ATP6V0A4"</f>
        <v>ATP6V0A4</v>
      </c>
      <c r="B1243" t="s">
        <v>3</v>
      </c>
    </row>
    <row r="1244" spans="1:2" x14ac:dyDescent="0.2">
      <c r="A1244" t="str">
        <f>"ATP6V0B"</f>
        <v>ATP6V0B</v>
      </c>
      <c r="B1244" t="s">
        <v>2</v>
      </c>
    </row>
    <row r="1245" spans="1:2" x14ac:dyDescent="0.2">
      <c r="A1245" t="str">
        <f>"ATP6V0C"</f>
        <v>ATP6V0C</v>
      </c>
      <c r="B1245" t="s">
        <v>2</v>
      </c>
    </row>
    <row r="1246" spans="1:2" x14ac:dyDescent="0.2">
      <c r="A1246" t="str">
        <f>"ATP6V0D1"</f>
        <v>ATP6V0D1</v>
      </c>
      <c r="B1246" t="s">
        <v>2</v>
      </c>
    </row>
    <row r="1247" spans="1:2" x14ac:dyDescent="0.2">
      <c r="A1247" t="str">
        <f>"ATP6V0D2"</f>
        <v>ATP6V0D2</v>
      </c>
      <c r="B1247" t="s">
        <v>2</v>
      </c>
    </row>
    <row r="1248" spans="1:2" x14ac:dyDescent="0.2">
      <c r="A1248" t="str">
        <f>"ATP6V0E1"</f>
        <v>ATP6V0E1</v>
      </c>
      <c r="B1248" t="s">
        <v>2</v>
      </c>
    </row>
    <row r="1249" spans="1:2" x14ac:dyDescent="0.2">
      <c r="A1249" t="str">
        <f>"ATP6V0E2"</f>
        <v>ATP6V0E2</v>
      </c>
      <c r="B1249" t="s">
        <v>2</v>
      </c>
    </row>
    <row r="1250" spans="1:2" x14ac:dyDescent="0.2">
      <c r="A1250" t="str">
        <f>"ATP6V1A"</f>
        <v>ATP6V1A</v>
      </c>
      <c r="B1250" t="s">
        <v>7</v>
      </c>
    </row>
    <row r="1251" spans="1:2" x14ac:dyDescent="0.2">
      <c r="A1251" t="str">
        <f>"ATP6V1B1"</f>
        <v>ATP6V1B1</v>
      </c>
      <c r="B1251" t="s">
        <v>2</v>
      </c>
    </row>
    <row r="1252" spans="1:2" x14ac:dyDescent="0.2">
      <c r="A1252" t="str">
        <f>"ATP6V1B2"</f>
        <v>ATP6V1B2</v>
      </c>
      <c r="B1252" t="s">
        <v>7</v>
      </c>
    </row>
    <row r="1253" spans="1:2" x14ac:dyDescent="0.2">
      <c r="A1253" t="str">
        <f>"ATP6V1C1"</f>
        <v>ATP6V1C1</v>
      </c>
      <c r="B1253" t="s">
        <v>7</v>
      </c>
    </row>
    <row r="1254" spans="1:2" x14ac:dyDescent="0.2">
      <c r="A1254" t="str">
        <f>"ATP6V1C2"</f>
        <v>ATP6V1C2</v>
      </c>
      <c r="B1254" t="s">
        <v>2</v>
      </c>
    </row>
    <row r="1255" spans="1:2" x14ac:dyDescent="0.2">
      <c r="A1255" t="str">
        <f>"ATP6V1D"</f>
        <v>ATP6V1D</v>
      </c>
      <c r="B1255" t="s">
        <v>3</v>
      </c>
    </row>
    <row r="1256" spans="1:2" x14ac:dyDescent="0.2">
      <c r="A1256" t="str">
        <f>"ATP6V1E1"</f>
        <v>ATP6V1E1</v>
      </c>
      <c r="B1256" t="s">
        <v>3</v>
      </c>
    </row>
    <row r="1257" spans="1:2" x14ac:dyDescent="0.2">
      <c r="A1257" t="str">
        <f>"ATP6V1E2"</f>
        <v>ATP6V1E2</v>
      </c>
      <c r="B1257" t="s">
        <v>2</v>
      </c>
    </row>
    <row r="1258" spans="1:2" x14ac:dyDescent="0.2">
      <c r="A1258" t="str">
        <f>"ATP6V1F"</f>
        <v>ATP6V1F</v>
      </c>
      <c r="B1258" t="s">
        <v>2</v>
      </c>
    </row>
    <row r="1259" spans="1:2" x14ac:dyDescent="0.2">
      <c r="A1259" t="str">
        <f>"ATP6V1G1"</f>
        <v>ATP6V1G1</v>
      </c>
      <c r="B1259" t="s">
        <v>3</v>
      </c>
    </row>
    <row r="1260" spans="1:2" x14ac:dyDescent="0.2">
      <c r="A1260" t="str">
        <f>"ATP6V1G2"</f>
        <v>ATP6V1G2</v>
      </c>
      <c r="B1260" t="s">
        <v>3</v>
      </c>
    </row>
    <row r="1261" spans="1:2" x14ac:dyDescent="0.2">
      <c r="A1261" t="str">
        <f>"ATP6V1G3"</f>
        <v>ATP6V1G3</v>
      </c>
      <c r="B1261" t="s">
        <v>3</v>
      </c>
    </row>
    <row r="1262" spans="1:2" x14ac:dyDescent="0.2">
      <c r="A1262" t="str">
        <f>"ATP6V1H"</f>
        <v>ATP6V1H</v>
      </c>
      <c r="B1262" t="s">
        <v>2</v>
      </c>
    </row>
    <row r="1263" spans="1:2" x14ac:dyDescent="0.2">
      <c r="A1263" t="str">
        <f>"ATP7A"</f>
        <v>ATP7A</v>
      </c>
      <c r="B1263" t="s">
        <v>2</v>
      </c>
    </row>
    <row r="1264" spans="1:2" x14ac:dyDescent="0.2">
      <c r="A1264" t="str">
        <f>"ATP7B"</f>
        <v>ATP7B</v>
      </c>
      <c r="B1264" t="s">
        <v>6</v>
      </c>
    </row>
    <row r="1265" spans="1:2" x14ac:dyDescent="0.2">
      <c r="A1265" t="str">
        <f>"ATP8A1"</f>
        <v>ATP8A1</v>
      </c>
      <c r="B1265" t="s">
        <v>7</v>
      </c>
    </row>
    <row r="1266" spans="1:2" x14ac:dyDescent="0.2">
      <c r="A1266" t="str">
        <f>"ATP8A2"</f>
        <v>ATP8A2</v>
      </c>
      <c r="B1266" t="s">
        <v>3</v>
      </c>
    </row>
    <row r="1267" spans="1:2" x14ac:dyDescent="0.2">
      <c r="A1267" t="str">
        <f>"ATP8B1"</f>
        <v>ATP8B1</v>
      </c>
      <c r="B1267" t="s">
        <v>6</v>
      </c>
    </row>
    <row r="1268" spans="1:2" x14ac:dyDescent="0.2">
      <c r="A1268" t="str">
        <f>"ATP8B2"</f>
        <v>ATP8B2</v>
      </c>
      <c r="B1268" t="s">
        <v>6</v>
      </c>
    </row>
    <row r="1269" spans="1:2" x14ac:dyDescent="0.2">
      <c r="A1269" t="str">
        <f>"ATP8B3"</f>
        <v>ATP8B3</v>
      </c>
      <c r="B1269" t="s">
        <v>5</v>
      </c>
    </row>
    <row r="1270" spans="1:2" x14ac:dyDescent="0.2">
      <c r="A1270" t="str">
        <f>"ATP8B4"</f>
        <v>ATP8B4</v>
      </c>
      <c r="B1270" t="s">
        <v>5</v>
      </c>
    </row>
    <row r="1271" spans="1:2" x14ac:dyDescent="0.2">
      <c r="A1271" t="str">
        <f>"ATP9A"</f>
        <v>ATP9A</v>
      </c>
      <c r="B1271" t="s">
        <v>5</v>
      </c>
    </row>
    <row r="1272" spans="1:2" x14ac:dyDescent="0.2">
      <c r="A1272" t="str">
        <f>"ATP9B"</f>
        <v>ATP9B</v>
      </c>
      <c r="B1272" t="s">
        <v>2</v>
      </c>
    </row>
    <row r="1273" spans="1:2" x14ac:dyDescent="0.2">
      <c r="A1273" t="str">
        <f>"ATPAF1"</f>
        <v>ATPAF1</v>
      </c>
      <c r="B1273" t="s">
        <v>6</v>
      </c>
    </row>
    <row r="1274" spans="1:2" x14ac:dyDescent="0.2">
      <c r="A1274" t="str">
        <f>"ATPAF2"</f>
        <v>ATPAF2</v>
      </c>
      <c r="B1274" t="s">
        <v>2</v>
      </c>
    </row>
    <row r="1275" spans="1:2" x14ac:dyDescent="0.2">
      <c r="A1275" t="str">
        <f>"ATPIF1"</f>
        <v>ATPIF1</v>
      </c>
      <c r="B1275" t="s">
        <v>6</v>
      </c>
    </row>
    <row r="1276" spans="1:2" x14ac:dyDescent="0.2">
      <c r="A1276" t="str">
        <f>"ATR"</f>
        <v>ATR</v>
      </c>
      <c r="B1276" t="s">
        <v>7</v>
      </c>
    </row>
    <row r="1277" spans="1:2" x14ac:dyDescent="0.2">
      <c r="A1277" t="str">
        <f>"ATRAID"</f>
        <v>ATRAID</v>
      </c>
      <c r="B1277" t="s">
        <v>3</v>
      </c>
    </row>
    <row r="1278" spans="1:2" x14ac:dyDescent="0.2">
      <c r="A1278" t="str">
        <f>"ATRIP"</f>
        <v>ATRIP</v>
      </c>
      <c r="B1278" t="s">
        <v>4</v>
      </c>
    </row>
    <row r="1279" spans="1:2" x14ac:dyDescent="0.2">
      <c r="A1279" t="str">
        <f>"ATRN"</f>
        <v>ATRN</v>
      </c>
      <c r="B1279" t="s">
        <v>5</v>
      </c>
    </row>
    <row r="1280" spans="1:2" x14ac:dyDescent="0.2">
      <c r="A1280" t="str">
        <f>"ATRNL1"</f>
        <v>ATRNL1</v>
      </c>
      <c r="B1280" t="s">
        <v>3</v>
      </c>
    </row>
    <row r="1281" spans="1:2" x14ac:dyDescent="0.2">
      <c r="A1281" t="str">
        <f>"ATRX"</f>
        <v>ATRX</v>
      </c>
      <c r="B1281" t="s">
        <v>3</v>
      </c>
    </row>
    <row r="1282" spans="1:2" x14ac:dyDescent="0.2">
      <c r="A1282" t="str">
        <f>"ATXN1"</f>
        <v>ATXN1</v>
      </c>
      <c r="B1282" t="s">
        <v>8</v>
      </c>
    </row>
    <row r="1283" spans="1:2" x14ac:dyDescent="0.2">
      <c r="A1283" t="str">
        <f>"ATXN10"</f>
        <v>ATXN10</v>
      </c>
      <c r="B1283" t="s">
        <v>3</v>
      </c>
    </row>
    <row r="1284" spans="1:2" x14ac:dyDescent="0.2">
      <c r="A1284" t="str">
        <f>"ATXN1L"</f>
        <v>ATXN1L</v>
      </c>
      <c r="B1284" t="s">
        <v>4</v>
      </c>
    </row>
    <row r="1285" spans="1:2" x14ac:dyDescent="0.2">
      <c r="A1285" t="str">
        <f>"ATXN2"</f>
        <v>ATXN2</v>
      </c>
      <c r="B1285" t="s">
        <v>6</v>
      </c>
    </row>
    <row r="1286" spans="1:2" x14ac:dyDescent="0.2">
      <c r="A1286" t="str">
        <f>"ATXN2L"</f>
        <v>ATXN2L</v>
      </c>
      <c r="B1286" t="s">
        <v>4</v>
      </c>
    </row>
    <row r="1287" spans="1:2" x14ac:dyDescent="0.2">
      <c r="A1287" t="str">
        <f>"ATXN3"</f>
        <v>ATXN3</v>
      </c>
      <c r="B1287" t="s">
        <v>3</v>
      </c>
    </row>
    <row r="1288" spans="1:2" x14ac:dyDescent="0.2">
      <c r="A1288" t="str">
        <f>"ATXN3L"</f>
        <v>ATXN3L</v>
      </c>
      <c r="B1288" t="s">
        <v>2</v>
      </c>
    </row>
    <row r="1289" spans="1:2" x14ac:dyDescent="0.2">
      <c r="A1289" t="str">
        <f>"ATXN7"</f>
        <v>ATXN7</v>
      </c>
      <c r="B1289" t="s">
        <v>6</v>
      </c>
    </row>
    <row r="1290" spans="1:2" x14ac:dyDescent="0.2">
      <c r="A1290" t="str">
        <f>"ATXN7L1"</f>
        <v>ATXN7L1</v>
      </c>
      <c r="B1290" t="s">
        <v>4</v>
      </c>
    </row>
    <row r="1291" spans="1:2" x14ac:dyDescent="0.2">
      <c r="A1291" t="str">
        <f>"ATXN7L2"</f>
        <v>ATXN7L2</v>
      </c>
      <c r="B1291" t="s">
        <v>4</v>
      </c>
    </row>
    <row r="1292" spans="1:2" x14ac:dyDescent="0.2">
      <c r="A1292" t="str">
        <f>"ATXN7L3"</f>
        <v>ATXN7L3</v>
      </c>
      <c r="B1292" t="s">
        <v>4</v>
      </c>
    </row>
    <row r="1293" spans="1:2" x14ac:dyDescent="0.2">
      <c r="A1293" t="str">
        <f>"ATXN7L3B"</f>
        <v>ATXN7L3B</v>
      </c>
      <c r="B1293" t="s">
        <v>4</v>
      </c>
    </row>
    <row r="1294" spans="1:2" x14ac:dyDescent="0.2">
      <c r="A1294" t="str">
        <f>"AUH"</f>
        <v>AUH</v>
      </c>
      <c r="B1294" t="s">
        <v>6</v>
      </c>
    </row>
    <row r="1295" spans="1:2" x14ac:dyDescent="0.2">
      <c r="A1295" t="str">
        <f>"AUNIP"</f>
        <v>AUNIP</v>
      </c>
      <c r="B1295" t="s">
        <v>4</v>
      </c>
    </row>
    <row r="1296" spans="1:2" x14ac:dyDescent="0.2">
      <c r="A1296" t="str">
        <f>"AUP1"</f>
        <v>AUP1</v>
      </c>
      <c r="B1296" t="s">
        <v>2</v>
      </c>
    </row>
    <row r="1297" spans="1:2" x14ac:dyDescent="0.2">
      <c r="A1297" t="str">
        <f>"AURKA"</f>
        <v>AURKA</v>
      </c>
      <c r="B1297" t="s">
        <v>7</v>
      </c>
    </row>
    <row r="1298" spans="1:2" x14ac:dyDescent="0.2">
      <c r="A1298" t="str">
        <f>"AURKAIP1"</f>
        <v>AURKAIP1</v>
      </c>
      <c r="B1298" t="s">
        <v>7</v>
      </c>
    </row>
    <row r="1299" spans="1:2" x14ac:dyDescent="0.2">
      <c r="A1299" t="str">
        <f>"AURKB"</f>
        <v>AURKB</v>
      </c>
      <c r="B1299" t="s">
        <v>7</v>
      </c>
    </row>
    <row r="1300" spans="1:2" x14ac:dyDescent="0.2">
      <c r="A1300" t="str">
        <f>"AURKC"</f>
        <v>AURKC</v>
      </c>
      <c r="B1300" t="s">
        <v>7</v>
      </c>
    </row>
    <row r="1301" spans="1:2" x14ac:dyDescent="0.2">
      <c r="A1301" t="str">
        <f>"AUTS2"</f>
        <v>AUTS2</v>
      </c>
      <c r="B1301" t="s">
        <v>4</v>
      </c>
    </row>
    <row r="1302" spans="1:2" x14ac:dyDescent="0.2">
      <c r="A1302" t="str">
        <f>"AVEN"</f>
        <v>AVEN</v>
      </c>
      <c r="B1302" t="s">
        <v>3</v>
      </c>
    </row>
    <row r="1303" spans="1:2" x14ac:dyDescent="0.2">
      <c r="A1303" t="str">
        <f>"AVIL"</f>
        <v>AVIL</v>
      </c>
      <c r="B1303" t="s">
        <v>2</v>
      </c>
    </row>
    <row r="1304" spans="1:2" x14ac:dyDescent="0.2">
      <c r="A1304" t="str">
        <f>"AVL9"</f>
        <v>AVL9</v>
      </c>
      <c r="B1304" t="s">
        <v>2</v>
      </c>
    </row>
    <row r="1305" spans="1:2" x14ac:dyDescent="0.2">
      <c r="A1305" t="str">
        <f>"AVP"</f>
        <v>AVP</v>
      </c>
      <c r="B1305" t="s">
        <v>2</v>
      </c>
    </row>
    <row r="1306" spans="1:2" x14ac:dyDescent="0.2">
      <c r="A1306" t="str">
        <f>"AVPI1"</f>
        <v>AVPI1</v>
      </c>
      <c r="B1306" t="s">
        <v>3</v>
      </c>
    </row>
    <row r="1307" spans="1:2" x14ac:dyDescent="0.2">
      <c r="A1307" t="str">
        <f>"AVPR1A"</f>
        <v>AVPR1A</v>
      </c>
      <c r="B1307" t="s">
        <v>7</v>
      </c>
    </row>
    <row r="1308" spans="1:2" x14ac:dyDescent="0.2">
      <c r="A1308" t="str">
        <f>"AVPR1B"</f>
        <v>AVPR1B</v>
      </c>
      <c r="B1308" t="s">
        <v>7</v>
      </c>
    </row>
    <row r="1309" spans="1:2" x14ac:dyDescent="0.2">
      <c r="A1309" t="str">
        <f>"AVPR2"</f>
        <v>AVPR2</v>
      </c>
      <c r="B1309" t="s">
        <v>7</v>
      </c>
    </row>
    <row r="1310" spans="1:2" x14ac:dyDescent="0.2">
      <c r="A1310" t="str">
        <f>"AWAT1"</f>
        <v>AWAT1</v>
      </c>
      <c r="B1310" t="s">
        <v>2</v>
      </c>
    </row>
    <row r="1311" spans="1:2" x14ac:dyDescent="0.2">
      <c r="A1311" t="str">
        <f>"AWAT2"</f>
        <v>AWAT2</v>
      </c>
      <c r="B1311" t="s">
        <v>2</v>
      </c>
    </row>
    <row r="1312" spans="1:2" x14ac:dyDescent="0.2">
      <c r="A1312" t="str">
        <f>"AXDND1"</f>
        <v>AXDND1</v>
      </c>
      <c r="B1312" t="s">
        <v>4</v>
      </c>
    </row>
    <row r="1313" spans="1:2" x14ac:dyDescent="0.2">
      <c r="A1313" t="str">
        <f>"AXIN1"</f>
        <v>AXIN1</v>
      </c>
      <c r="B1313" t="s">
        <v>3</v>
      </c>
    </row>
    <row r="1314" spans="1:2" x14ac:dyDescent="0.2">
      <c r="A1314" t="str">
        <f>"AXIN2"</f>
        <v>AXIN2</v>
      </c>
      <c r="B1314" t="s">
        <v>3</v>
      </c>
    </row>
    <row r="1315" spans="1:2" x14ac:dyDescent="0.2">
      <c r="A1315" t="str">
        <f>"AXL"</f>
        <v>AXL</v>
      </c>
      <c r="B1315" t="s">
        <v>7</v>
      </c>
    </row>
    <row r="1316" spans="1:2" x14ac:dyDescent="0.2">
      <c r="A1316" t="str">
        <f>"AZGP1"</f>
        <v>AZGP1</v>
      </c>
      <c r="B1316" t="s">
        <v>7</v>
      </c>
    </row>
    <row r="1317" spans="1:2" x14ac:dyDescent="0.2">
      <c r="A1317" t="str">
        <f>"AZI1"</f>
        <v>AZI1</v>
      </c>
      <c r="B1317" t="s">
        <v>3</v>
      </c>
    </row>
    <row r="1318" spans="1:2" x14ac:dyDescent="0.2">
      <c r="A1318" t="str">
        <f>"AZI2"</f>
        <v>AZI2</v>
      </c>
      <c r="B1318" t="s">
        <v>6</v>
      </c>
    </row>
    <row r="1319" spans="1:2" x14ac:dyDescent="0.2">
      <c r="A1319" t="str">
        <f>"AZIN1"</f>
        <v>AZIN1</v>
      </c>
      <c r="B1319" t="s">
        <v>4</v>
      </c>
    </row>
    <row r="1320" spans="1:2" x14ac:dyDescent="0.2">
      <c r="A1320" t="str">
        <f>"AZU1"</f>
        <v>AZU1</v>
      </c>
      <c r="B1320" t="s">
        <v>2</v>
      </c>
    </row>
    <row r="1321" spans="1:2" x14ac:dyDescent="0.2">
      <c r="A1321" t="str">
        <f>"B2M"</f>
        <v>B2M</v>
      </c>
      <c r="B1321" t="s">
        <v>7</v>
      </c>
    </row>
    <row r="1322" spans="1:2" x14ac:dyDescent="0.2">
      <c r="A1322" t="str">
        <f>"B3GALNT1"</f>
        <v>B3GALNT1</v>
      </c>
      <c r="B1322" t="s">
        <v>5</v>
      </c>
    </row>
    <row r="1323" spans="1:2" x14ac:dyDescent="0.2">
      <c r="A1323" t="str">
        <f>"B3GALNT2"</f>
        <v>B3GALNT2</v>
      </c>
      <c r="B1323" t="s">
        <v>2</v>
      </c>
    </row>
    <row r="1324" spans="1:2" x14ac:dyDescent="0.2">
      <c r="A1324" t="str">
        <f>"B3GALT1"</f>
        <v>B3GALT1</v>
      </c>
      <c r="B1324" t="s">
        <v>6</v>
      </c>
    </row>
    <row r="1325" spans="1:2" x14ac:dyDescent="0.2">
      <c r="A1325" t="str">
        <f>"B3GALT2"</f>
        <v>B3GALT2</v>
      </c>
      <c r="B1325" t="s">
        <v>5</v>
      </c>
    </row>
    <row r="1326" spans="1:2" x14ac:dyDescent="0.2">
      <c r="A1326" t="str">
        <f>"B3GALT4"</f>
        <v>B3GALT4</v>
      </c>
      <c r="B1326" t="s">
        <v>3</v>
      </c>
    </row>
    <row r="1327" spans="1:2" x14ac:dyDescent="0.2">
      <c r="A1327" t="str">
        <f>"B3GALT5"</f>
        <v>B3GALT5</v>
      </c>
      <c r="B1327" t="s">
        <v>2</v>
      </c>
    </row>
    <row r="1328" spans="1:2" x14ac:dyDescent="0.2">
      <c r="A1328" t="str">
        <f>"B3GALT6"</f>
        <v>B3GALT6</v>
      </c>
      <c r="B1328" t="s">
        <v>2</v>
      </c>
    </row>
    <row r="1329" spans="1:2" x14ac:dyDescent="0.2">
      <c r="A1329" t="str">
        <f>"B3GALTL"</f>
        <v>B3GALTL</v>
      </c>
      <c r="B1329" t="s">
        <v>2</v>
      </c>
    </row>
    <row r="1330" spans="1:2" x14ac:dyDescent="0.2">
      <c r="A1330" t="str">
        <f>"B3GAT1"</f>
        <v>B3GAT1</v>
      </c>
      <c r="B1330" t="s">
        <v>3</v>
      </c>
    </row>
    <row r="1331" spans="1:2" x14ac:dyDescent="0.2">
      <c r="A1331" t="str">
        <f>"B3GAT2"</f>
        <v>B3GAT2</v>
      </c>
      <c r="B1331" t="s">
        <v>5</v>
      </c>
    </row>
    <row r="1332" spans="1:2" x14ac:dyDescent="0.2">
      <c r="A1332" t="str">
        <f>"B3GAT3"</f>
        <v>B3GAT3</v>
      </c>
      <c r="B1332" t="s">
        <v>3</v>
      </c>
    </row>
    <row r="1333" spans="1:2" x14ac:dyDescent="0.2">
      <c r="A1333" t="str">
        <f>"B3GNT1"</f>
        <v>B3GNT1</v>
      </c>
      <c r="B1333" t="s">
        <v>2</v>
      </c>
    </row>
    <row r="1334" spans="1:2" x14ac:dyDescent="0.2">
      <c r="A1334" t="str">
        <f>"B3GNT2"</f>
        <v>B3GNT2</v>
      </c>
      <c r="B1334" t="s">
        <v>5</v>
      </c>
    </row>
    <row r="1335" spans="1:2" x14ac:dyDescent="0.2">
      <c r="A1335" t="str">
        <f>"B3GNT3"</f>
        <v>B3GNT3</v>
      </c>
      <c r="B1335" t="s">
        <v>3</v>
      </c>
    </row>
    <row r="1336" spans="1:2" x14ac:dyDescent="0.2">
      <c r="A1336" t="str">
        <f>"B3GNT4"</f>
        <v>B3GNT4</v>
      </c>
      <c r="B1336" t="s">
        <v>5</v>
      </c>
    </row>
    <row r="1337" spans="1:2" x14ac:dyDescent="0.2">
      <c r="A1337" t="str">
        <f>"B3GNT5"</f>
        <v>B3GNT5</v>
      </c>
      <c r="B1337" t="s">
        <v>5</v>
      </c>
    </row>
    <row r="1338" spans="1:2" x14ac:dyDescent="0.2">
      <c r="A1338" t="str">
        <f>"B3GNT6"</f>
        <v>B3GNT6</v>
      </c>
      <c r="B1338" t="s">
        <v>3</v>
      </c>
    </row>
    <row r="1339" spans="1:2" x14ac:dyDescent="0.2">
      <c r="A1339" t="str">
        <f>"B3GNT7"</f>
        <v>B3GNT7</v>
      </c>
      <c r="B1339" t="s">
        <v>3</v>
      </c>
    </row>
    <row r="1340" spans="1:2" x14ac:dyDescent="0.2">
      <c r="A1340" t="str">
        <f>"B3GNT8"</f>
        <v>B3GNT8</v>
      </c>
      <c r="B1340" t="s">
        <v>2</v>
      </c>
    </row>
    <row r="1341" spans="1:2" x14ac:dyDescent="0.2">
      <c r="A1341" t="str">
        <f>"B3GNT9"</f>
        <v>B3GNT9</v>
      </c>
      <c r="B1341" t="s">
        <v>2</v>
      </c>
    </row>
    <row r="1342" spans="1:2" x14ac:dyDescent="0.2">
      <c r="A1342" t="str">
        <f>"B3GNTL1"</f>
        <v>B3GNTL1</v>
      </c>
      <c r="B1342" t="s">
        <v>2</v>
      </c>
    </row>
    <row r="1343" spans="1:2" x14ac:dyDescent="0.2">
      <c r="A1343" t="str">
        <f>"B4GALNT1"</f>
        <v>B4GALNT1</v>
      </c>
      <c r="B1343" t="s">
        <v>2</v>
      </c>
    </row>
    <row r="1344" spans="1:2" x14ac:dyDescent="0.2">
      <c r="A1344" t="str">
        <f>"B4GALNT2"</f>
        <v>B4GALNT2</v>
      </c>
      <c r="B1344" t="s">
        <v>2</v>
      </c>
    </row>
    <row r="1345" spans="1:2" x14ac:dyDescent="0.2">
      <c r="A1345" t="str">
        <f>"B4GALNT3"</f>
        <v>B4GALNT3</v>
      </c>
      <c r="B1345" t="s">
        <v>2</v>
      </c>
    </row>
    <row r="1346" spans="1:2" x14ac:dyDescent="0.2">
      <c r="A1346" t="str">
        <f>"B4GALNT4"</f>
        <v>B4GALNT4</v>
      </c>
      <c r="B1346" t="s">
        <v>2</v>
      </c>
    </row>
    <row r="1347" spans="1:2" x14ac:dyDescent="0.2">
      <c r="A1347" t="str">
        <f>"B4GALT1"</f>
        <v>B4GALT1</v>
      </c>
      <c r="B1347" t="s">
        <v>7</v>
      </c>
    </row>
    <row r="1348" spans="1:2" x14ac:dyDescent="0.2">
      <c r="A1348" t="str">
        <f>"B4GALT2"</f>
        <v>B4GALT2</v>
      </c>
      <c r="B1348" t="s">
        <v>7</v>
      </c>
    </row>
    <row r="1349" spans="1:2" x14ac:dyDescent="0.2">
      <c r="A1349" t="str">
        <f>"B4GALT3"</f>
        <v>B4GALT3</v>
      </c>
      <c r="B1349" t="s">
        <v>7</v>
      </c>
    </row>
    <row r="1350" spans="1:2" x14ac:dyDescent="0.2">
      <c r="A1350" t="str">
        <f>"B4GALT4"</f>
        <v>B4GALT4</v>
      </c>
      <c r="B1350" t="s">
        <v>7</v>
      </c>
    </row>
    <row r="1351" spans="1:2" x14ac:dyDescent="0.2">
      <c r="A1351" t="str">
        <f>"B4GALT5"</f>
        <v>B4GALT5</v>
      </c>
      <c r="B1351" t="s">
        <v>3</v>
      </c>
    </row>
    <row r="1352" spans="1:2" x14ac:dyDescent="0.2">
      <c r="A1352" t="str">
        <f>"B4GALT6"</f>
        <v>B4GALT6</v>
      </c>
      <c r="B1352" t="s">
        <v>3</v>
      </c>
    </row>
    <row r="1353" spans="1:2" x14ac:dyDescent="0.2">
      <c r="A1353" t="str">
        <f>"B4GALT7"</f>
        <v>B4GALT7</v>
      </c>
      <c r="B1353" t="s">
        <v>5</v>
      </c>
    </row>
    <row r="1354" spans="1:2" x14ac:dyDescent="0.2">
      <c r="A1354" t="str">
        <f>"B9D1"</f>
        <v>B9D1</v>
      </c>
      <c r="B1354" t="s">
        <v>4</v>
      </c>
    </row>
    <row r="1355" spans="1:2" x14ac:dyDescent="0.2">
      <c r="A1355" t="str">
        <f>"B9D2"</f>
        <v>B9D2</v>
      </c>
      <c r="B1355" t="s">
        <v>4</v>
      </c>
    </row>
    <row r="1356" spans="1:2" x14ac:dyDescent="0.2">
      <c r="A1356" t="str">
        <f>"BAALC"</f>
        <v>BAALC</v>
      </c>
      <c r="B1356" t="s">
        <v>6</v>
      </c>
    </row>
    <row r="1357" spans="1:2" x14ac:dyDescent="0.2">
      <c r="A1357" t="str">
        <f>"BAAT"</f>
        <v>BAAT</v>
      </c>
      <c r="B1357" t="s">
        <v>3</v>
      </c>
    </row>
    <row r="1358" spans="1:2" x14ac:dyDescent="0.2">
      <c r="A1358" t="str">
        <f>"BABAM1"</f>
        <v>BABAM1</v>
      </c>
      <c r="B1358" t="s">
        <v>4</v>
      </c>
    </row>
    <row r="1359" spans="1:2" x14ac:dyDescent="0.2">
      <c r="A1359" t="str">
        <f>"BACE1"</f>
        <v>BACE1</v>
      </c>
      <c r="B1359" t="s">
        <v>7</v>
      </c>
    </row>
    <row r="1360" spans="1:2" x14ac:dyDescent="0.2">
      <c r="A1360" t="str">
        <f>"BACE2"</f>
        <v>BACE2</v>
      </c>
      <c r="B1360" t="s">
        <v>2</v>
      </c>
    </row>
    <row r="1361" spans="1:2" x14ac:dyDescent="0.2">
      <c r="A1361" t="str">
        <f>"BACH1"</f>
        <v>BACH1</v>
      </c>
      <c r="B1361" t="s">
        <v>8</v>
      </c>
    </row>
    <row r="1362" spans="1:2" x14ac:dyDescent="0.2">
      <c r="A1362" t="str">
        <f>"BACH2"</f>
        <v>BACH2</v>
      </c>
      <c r="B1362" t="s">
        <v>8</v>
      </c>
    </row>
    <row r="1363" spans="1:2" x14ac:dyDescent="0.2">
      <c r="A1363" t="str">
        <f>"BAD"</f>
        <v>BAD</v>
      </c>
      <c r="B1363" t="s">
        <v>3</v>
      </c>
    </row>
    <row r="1364" spans="1:2" x14ac:dyDescent="0.2">
      <c r="A1364" t="str">
        <f>"BAG1"</f>
        <v>BAG1</v>
      </c>
      <c r="B1364" t="s">
        <v>7</v>
      </c>
    </row>
    <row r="1365" spans="1:2" x14ac:dyDescent="0.2">
      <c r="A1365" t="str">
        <f>"BAG2"</f>
        <v>BAG2</v>
      </c>
      <c r="B1365" t="s">
        <v>2</v>
      </c>
    </row>
    <row r="1366" spans="1:2" x14ac:dyDescent="0.2">
      <c r="A1366" t="str">
        <f>"BAG3"</f>
        <v>BAG3</v>
      </c>
      <c r="B1366" t="s">
        <v>2</v>
      </c>
    </row>
    <row r="1367" spans="1:2" x14ac:dyDescent="0.2">
      <c r="A1367" t="str">
        <f>"BAG4"</f>
        <v>BAG4</v>
      </c>
      <c r="B1367" t="s">
        <v>2</v>
      </c>
    </row>
    <row r="1368" spans="1:2" x14ac:dyDescent="0.2">
      <c r="A1368" t="str">
        <f>"BAG5"</f>
        <v>BAG5</v>
      </c>
      <c r="B1368" t="s">
        <v>2</v>
      </c>
    </row>
    <row r="1369" spans="1:2" x14ac:dyDescent="0.2">
      <c r="A1369" t="str">
        <f>"BAG6"</f>
        <v>BAG6</v>
      </c>
      <c r="B1369" t="s">
        <v>2</v>
      </c>
    </row>
    <row r="1370" spans="1:2" x14ac:dyDescent="0.2">
      <c r="A1370" t="str">
        <f>"BAGE"</f>
        <v>BAGE</v>
      </c>
      <c r="B1370" t="s">
        <v>3</v>
      </c>
    </row>
    <row r="1371" spans="1:2" x14ac:dyDescent="0.2">
      <c r="A1371" t="str">
        <f>"BAGE3"</f>
        <v>BAGE3</v>
      </c>
      <c r="B1371" t="s">
        <v>4</v>
      </c>
    </row>
    <row r="1372" spans="1:2" x14ac:dyDescent="0.2">
      <c r="A1372" t="str">
        <f>"BAGE4"</f>
        <v>BAGE4</v>
      </c>
      <c r="B1372" t="s">
        <v>4</v>
      </c>
    </row>
    <row r="1373" spans="1:2" x14ac:dyDescent="0.2">
      <c r="A1373" t="str">
        <f>"BAGE5"</f>
        <v>BAGE5</v>
      </c>
      <c r="B1373" t="s">
        <v>4</v>
      </c>
    </row>
    <row r="1374" spans="1:2" x14ac:dyDescent="0.2">
      <c r="A1374" t="str">
        <f>"BAHCC1"</f>
        <v>BAHCC1</v>
      </c>
      <c r="B1374" t="s">
        <v>8</v>
      </c>
    </row>
    <row r="1375" spans="1:2" x14ac:dyDescent="0.2">
      <c r="A1375" t="str">
        <f>"BAHD1"</f>
        <v>BAHD1</v>
      </c>
      <c r="B1375" t="s">
        <v>2</v>
      </c>
    </row>
    <row r="1376" spans="1:2" x14ac:dyDescent="0.2">
      <c r="A1376" t="str">
        <f>"BAI1"</f>
        <v>BAI1</v>
      </c>
      <c r="B1376" t="s">
        <v>3</v>
      </c>
    </row>
    <row r="1377" spans="1:2" x14ac:dyDescent="0.2">
      <c r="A1377" t="str">
        <f>"BAI2"</f>
        <v>BAI2</v>
      </c>
      <c r="B1377" t="s">
        <v>5</v>
      </c>
    </row>
    <row r="1378" spans="1:2" x14ac:dyDescent="0.2">
      <c r="A1378" t="str">
        <f>"BAI3"</f>
        <v>BAI3</v>
      </c>
      <c r="B1378" t="s">
        <v>3</v>
      </c>
    </row>
    <row r="1379" spans="1:2" x14ac:dyDescent="0.2">
      <c r="A1379" t="str">
        <f>"BAIAP2"</f>
        <v>BAIAP2</v>
      </c>
      <c r="B1379" t="s">
        <v>4</v>
      </c>
    </row>
    <row r="1380" spans="1:2" x14ac:dyDescent="0.2">
      <c r="A1380" t="str">
        <f>"BAIAP2L1"</f>
        <v>BAIAP2L1</v>
      </c>
      <c r="B1380" t="s">
        <v>7</v>
      </c>
    </row>
    <row r="1381" spans="1:2" x14ac:dyDescent="0.2">
      <c r="A1381" t="str">
        <f>"BAIAP2L2"</f>
        <v>BAIAP2L2</v>
      </c>
      <c r="B1381" t="s">
        <v>4</v>
      </c>
    </row>
    <row r="1382" spans="1:2" x14ac:dyDescent="0.2">
      <c r="A1382" t="str">
        <f>"BAIAP3"</f>
        <v>BAIAP3</v>
      </c>
      <c r="B1382" t="s">
        <v>6</v>
      </c>
    </row>
    <row r="1383" spans="1:2" x14ac:dyDescent="0.2">
      <c r="A1383" t="str">
        <f>"BAK1"</f>
        <v>BAK1</v>
      </c>
      <c r="B1383" t="s">
        <v>3</v>
      </c>
    </row>
    <row r="1384" spans="1:2" x14ac:dyDescent="0.2">
      <c r="A1384" t="str">
        <f>"BAMBI"</f>
        <v>BAMBI</v>
      </c>
      <c r="B1384" t="s">
        <v>5</v>
      </c>
    </row>
    <row r="1385" spans="1:2" x14ac:dyDescent="0.2">
      <c r="A1385" t="str">
        <f>"BANF1"</f>
        <v>BANF1</v>
      </c>
      <c r="B1385" t="s">
        <v>6</v>
      </c>
    </row>
    <row r="1386" spans="1:2" x14ac:dyDescent="0.2">
      <c r="A1386" t="str">
        <f>"BANF2"</f>
        <v>BANF2</v>
      </c>
      <c r="B1386" t="s">
        <v>8</v>
      </c>
    </row>
    <row r="1387" spans="1:2" x14ac:dyDescent="0.2">
      <c r="A1387" t="str">
        <f>"BANK1"</f>
        <v>BANK1</v>
      </c>
      <c r="B1387" t="s">
        <v>4</v>
      </c>
    </row>
    <row r="1388" spans="1:2" x14ac:dyDescent="0.2">
      <c r="A1388" t="str">
        <f>"BANP"</f>
        <v>BANP</v>
      </c>
      <c r="B1388" t="s">
        <v>3</v>
      </c>
    </row>
    <row r="1389" spans="1:2" x14ac:dyDescent="0.2">
      <c r="A1389" t="str">
        <f>"BAP1"</f>
        <v>BAP1</v>
      </c>
      <c r="B1389" t="s">
        <v>2</v>
      </c>
    </row>
    <row r="1390" spans="1:2" x14ac:dyDescent="0.2">
      <c r="A1390" t="str">
        <f>"BARD1"</f>
        <v>BARD1</v>
      </c>
      <c r="B1390" t="s">
        <v>3</v>
      </c>
    </row>
    <row r="1391" spans="1:2" x14ac:dyDescent="0.2">
      <c r="A1391" t="str">
        <f>"BARHL1"</f>
        <v>BARHL1</v>
      </c>
      <c r="B1391" t="s">
        <v>8</v>
      </c>
    </row>
    <row r="1392" spans="1:2" x14ac:dyDescent="0.2">
      <c r="A1392" t="str">
        <f>"BARHL2"</f>
        <v>BARHL2</v>
      </c>
      <c r="B1392" t="s">
        <v>8</v>
      </c>
    </row>
    <row r="1393" spans="1:2" x14ac:dyDescent="0.2">
      <c r="A1393" t="str">
        <f>"BARX1"</f>
        <v>BARX1</v>
      </c>
      <c r="B1393" t="s">
        <v>8</v>
      </c>
    </row>
    <row r="1394" spans="1:2" x14ac:dyDescent="0.2">
      <c r="A1394" t="str">
        <f>"BARX2"</f>
        <v>BARX2</v>
      </c>
      <c r="B1394" t="s">
        <v>6</v>
      </c>
    </row>
    <row r="1395" spans="1:2" x14ac:dyDescent="0.2">
      <c r="A1395" t="str">
        <f>"BASP1"</f>
        <v>BASP1</v>
      </c>
      <c r="B1395" t="s">
        <v>8</v>
      </c>
    </row>
    <row r="1396" spans="1:2" x14ac:dyDescent="0.2">
      <c r="A1396" t="str">
        <f>"BATF"</f>
        <v>BATF</v>
      </c>
      <c r="B1396" t="s">
        <v>8</v>
      </c>
    </row>
    <row r="1397" spans="1:2" x14ac:dyDescent="0.2">
      <c r="A1397" t="str">
        <f>"BATF2"</f>
        <v>BATF2</v>
      </c>
      <c r="B1397" t="s">
        <v>8</v>
      </c>
    </row>
    <row r="1398" spans="1:2" x14ac:dyDescent="0.2">
      <c r="A1398" t="str">
        <f>"BATF3"</f>
        <v>BATF3</v>
      </c>
      <c r="B1398" t="s">
        <v>2</v>
      </c>
    </row>
    <row r="1399" spans="1:2" x14ac:dyDescent="0.2">
      <c r="A1399" t="str">
        <f>"BAX"</f>
        <v>BAX</v>
      </c>
      <c r="B1399" t="s">
        <v>3</v>
      </c>
    </row>
    <row r="1400" spans="1:2" x14ac:dyDescent="0.2">
      <c r="A1400" t="str">
        <f>"BAZ1A"</f>
        <v>BAZ1A</v>
      </c>
      <c r="B1400" t="s">
        <v>2</v>
      </c>
    </row>
    <row r="1401" spans="1:2" x14ac:dyDescent="0.2">
      <c r="A1401" t="str">
        <f>"BAZ1B"</f>
        <v>BAZ1B</v>
      </c>
      <c r="B1401" t="s">
        <v>2</v>
      </c>
    </row>
    <row r="1402" spans="1:2" x14ac:dyDescent="0.2">
      <c r="A1402" t="str">
        <f>"BAZ2A"</f>
        <v>BAZ2A</v>
      </c>
      <c r="B1402" t="s">
        <v>8</v>
      </c>
    </row>
    <row r="1403" spans="1:2" x14ac:dyDescent="0.2">
      <c r="A1403" t="str">
        <f>"BAZ2B"</f>
        <v>BAZ2B</v>
      </c>
      <c r="B1403" t="s">
        <v>8</v>
      </c>
    </row>
    <row r="1404" spans="1:2" x14ac:dyDescent="0.2">
      <c r="A1404" t="str">
        <f>"BBC3"</f>
        <v>BBC3</v>
      </c>
      <c r="B1404" t="s">
        <v>3</v>
      </c>
    </row>
    <row r="1405" spans="1:2" x14ac:dyDescent="0.2">
      <c r="A1405" t="str">
        <f>"BBIP1"</f>
        <v>BBIP1</v>
      </c>
      <c r="B1405" t="s">
        <v>4</v>
      </c>
    </row>
    <row r="1406" spans="1:2" x14ac:dyDescent="0.2">
      <c r="A1406" t="str">
        <f>"BBOX1"</f>
        <v>BBOX1</v>
      </c>
      <c r="B1406" t="s">
        <v>7</v>
      </c>
    </row>
    <row r="1407" spans="1:2" x14ac:dyDescent="0.2">
      <c r="A1407" t="str">
        <f>"BBS1"</f>
        <v>BBS1</v>
      </c>
      <c r="B1407" t="s">
        <v>6</v>
      </c>
    </row>
    <row r="1408" spans="1:2" x14ac:dyDescent="0.2">
      <c r="A1408" t="str">
        <f>"BBS10"</f>
        <v>BBS10</v>
      </c>
      <c r="B1408" t="s">
        <v>2</v>
      </c>
    </row>
    <row r="1409" spans="1:2" x14ac:dyDescent="0.2">
      <c r="A1409" t="str">
        <f>"BBS12"</f>
        <v>BBS12</v>
      </c>
      <c r="B1409" t="s">
        <v>2</v>
      </c>
    </row>
    <row r="1410" spans="1:2" x14ac:dyDescent="0.2">
      <c r="A1410" t="str">
        <f>"BBS2"</f>
        <v>BBS2</v>
      </c>
      <c r="B1410" t="s">
        <v>4</v>
      </c>
    </row>
    <row r="1411" spans="1:2" x14ac:dyDescent="0.2">
      <c r="A1411" t="str">
        <f>"BBS4"</f>
        <v>BBS4</v>
      </c>
      <c r="B1411" t="s">
        <v>3</v>
      </c>
    </row>
    <row r="1412" spans="1:2" x14ac:dyDescent="0.2">
      <c r="A1412" t="str">
        <f>"BBS5"</f>
        <v>BBS5</v>
      </c>
      <c r="B1412" t="s">
        <v>4</v>
      </c>
    </row>
    <row r="1413" spans="1:2" x14ac:dyDescent="0.2">
      <c r="A1413" t="str">
        <f>"BBS7"</f>
        <v>BBS7</v>
      </c>
      <c r="B1413" t="s">
        <v>4</v>
      </c>
    </row>
    <row r="1414" spans="1:2" x14ac:dyDescent="0.2">
      <c r="A1414" t="str">
        <f>"BBS9"</f>
        <v>BBS9</v>
      </c>
      <c r="B1414" t="s">
        <v>4</v>
      </c>
    </row>
    <row r="1415" spans="1:2" x14ac:dyDescent="0.2">
      <c r="A1415" t="str">
        <f>"BBX"</f>
        <v>BBX</v>
      </c>
      <c r="B1415" t="s">
        <v>8</v>
      </c>
    </row>
    <row r="1416" spans="1:2" x14ac:dyDescent="0.2">
      <c r="A1416" t="str">
        <f>"BCAM"</f>
        <v>BCAM</v>
      </c>
      <c r="B1416" t="s">
        <v>5</v>
      </c>
    </row>
    <row r="1417" spans="1:2" x14ac:dyDescent="0.2">
      <c r="A1417" t="str">
        <f>"BCAN"</f>
        <v>BCAN</v>
      </c>
      <c r="B1417" t="s">
        <v>6</v>
      </c>
    </row>
    <row r="1418" spans="1:2" x14ac:dyDescent="0.2">
      <c r="A1418" t="str">
        <f>"BCAP29"</f>
        <v>BCAP29</v>
      </c>
      <c r="B1418" t="s">
        <v>6</v>
      </c>
    </row>
    <row r="1419" spans="1:2" x14ac:dyDescent="0.2">
      <c r="A1419" t="str">
        <f>"BCAP31"</f>
        <v>BCAP31</v>
      </c>
      <c r="B1419" t="s">
        <v>2</v>
      </c>
    </row>
    <row r="1420" spans="1:2" x14ac:dyDescent="0.2">
      <c r="A1420" t="str">
        <f>"BCAR1"</f>
        <v>BCAR1</v>
      </c>
      <c r="B1420" t="s">
        <v>3</v>
      </c>
    </row>
    <row r="1421" spans="1:2" x14ac:dyDescent="0.2">
      <c r="A1421" t="str">
        <f>"BCAR3"</f>
        <v>BCAR3</v>
      </c>
      <c r="B1421" t="s">
        <v>6</v>
      </c>
    </row>
    <row r="1422" spans="1:2" x14ac:dyDescent="0.2">
      <c r="A1422" t="str">
        <f>"BCAS1"</f>
        <v>BCAS1</v>
      </c>
      <c r="B1422" t="s">
        <v>3</v>
      </c>
    </row>
    <row r="1423" spans="1:2" x14ac:dyDescent="0.2">
      <c r="A1423" t="str">
        <f>"BCAS2"</f>
        <v>BCAS2</v>
      </c>
      <c r="B1423" t="s">
        <v>3</v>
      </c>
    </row>
    <row r="1424" spans="1:2" x14ac:dyDescent="0.2">
      <c r="A1424" t="str">
        <f>"BCAS3"</f>
        <v>BCAS3</v>
      </c>
      <c r="B1424" t="s">
        <v>3</v>
      </c>
    </row>
    <row r="1425" spans="1:2" x14ac:dyDescent="0.2">
      <c r="A1425" t="str">
        <f>"BCAS4"</f>
        <v>BCAS4</v>
      </c>
      <c r="B1425" t="s">
        <v>4</v>
      </c>
    </row>
    <row r="1426" spans="1:2" x14ac:dyDescent="0.2">
      <c r="A1426" t="str">
        <f>"BCAT1"</f>
        <v>BCAT1</v>
      </c>
      <c r="B1426" t="s">
        <v>3</v>
      </c>
    </row>
    <row r="1427" spans="1:2" x14ac:dyDescent="0.2">
      <c r="A1427" t="str">
        <f>"BCAT2"</f>
        <v>BCAT2</v>
      </c>
      <c r="B1427" t="s">
        <v>7</v>
      </c>
    </row>
    <row r="1428" spans="1:2" x14ac:dyDescent="0.2">
      <c r="A1428" t="str">
        <f>"BCCIP"</f>
        <v>BCCIP</v>
      </c>
      <c r="B1428" t="s">
        <v>3</v>
      </c>
    </row>
    <row r="1429" spans="1:2" x14ac:dyDescent="0.2">
      <c r="A1429" t="str">
        <f>"BCDIN3D"</f>
        <v>BCDIN3D</v>
      </c>
      <c r="B1429" t="s">
        <v>4</v>
      </c>
    </row>
    <row r="1430" spans="1:2" x14ac:dyDescent="0.2">
      <c r="A1430" t="str">
        <f>"BCHE"</f>
        <v>BCHE</v>
      </c>
      <c r="B1430" t="s">
        <v>4</v>
      </c>
    </row>
    <row r="1431" spans="1:2" x14ac:dyDescent="0.2">
      <c r="A1431" t="str">
        <f>"BCKDHA"</f>
        <v>BCKDHA</v>
      </c>
      <c r="B1431" t="s">
        <v>6</v>
      </c>
    </row>
    <row r="1432" spans="1:2" x14ac:dyDescent="0.2">
      <c r="A1432" t="str">
        <f>"BCKDHB"</f>
        <v>BCKDHB</v>
      </c>
      <c r="B1432" t="s">
        <v>6</v>
      </c>
    </row>
    <row r="1433" spans="1:2" x14ac:dyDescent="0.2">
      <c r="A1433" t="str">
        <f>"BCKDK"</f>
        <v>BCKDK</v>
      </c>
      <c r="B1433" t="s">
        <v>7</v>
      </c>
    </row>
    <row r="1434" spans="1:2" x14ac:dyDescent="0.2">
      <c r="A1434" t="str">
        <f>"BCL10"</f>
        <v>BCL10</v>
      </c>
      <c r="B1434" t="s">
        <v>3</v>
      </c>
    </row>
    <row r="1435" spans="1:2" x14ac:dyDescent="0.2">
      <c r="A1435" t="str">
        <f>"BCL11A"</f>
        <v>BCL11A</v>
      </c>
      <c r="B1435" t="s">
        <v>3</v>
      </c>
    </row>
    <row r="1436" spans="1:2" x14ac:dyDescent="0.2">
      <c r="A1436" t="str">
        <f>"BCL11B"</f>
        <v>BCL11B</v>
      </c>
      <c r="B1436" t="s">
        <v>3</v>
      </c>
    </row>
    <row r="1437" spans="1:2" x14ac:dyDescent="0.2">
      <c r="A1437" t="str">
        <f>"BCL2"</f>
        <v>BCL2</v>
      </c>
      <c r="B1437" t="s">
        <v>3</v>
      </c>
    </row>
    <row r="1438" spans="1:2" x14ac:dyDescent="0.2">
      <c r="A1438" t="str">
        <f>"BCL2A1"</f>
        <v>BCL2A1</v>
      </c>
      <c r="B1438" t="s">
        <v>3</v>
      </c>
    </row>
    <row r="1439" spans="1:2" x14ac:dyDescent="0.2">
      <c r="A1439" t="str">
        <f>"BCL2L1"</f>
        <v>BCL2L1</v>
      </c>
      <c r="B1439" t="s">
        <v>3</v>
      </c>
    </row>
    <row r="1440" spans="1:2" x14ac:dyDescent="0.2">
      <c r="A1440" t="str">
        <f>"BCL2L10"</f>
        <v>BCL2L10</v>
      </c>
      <c r="B1440" t="s">
        <v>3</v>
      </c>
    </row>
    <row r="1441" spans="1:2" x14ac:dyDescent="0.2">
      <c r="A1441" t="str">
        <f>"BCL2L11"</f>
        <v>BCL2L11</v>
      </c>
      <c r="B1441" t="s">
        <v>3</v>
      </c>
    </row>
    <row r="1442" spans="1:2" x14ac:dyDescent="0.2">
      <c r="A1442" t="str">
        <f>"BCL2L12"</f>
        <v>BCL2L12</v>
      </c>
      <c r="B1442" t="s">
        <v>3</v>
      </c>
    </row>
    <row r="1443" spans="1:2" x14ac:dyDescent="0.2">
      <c r="A1443" t="str">
        <f>"BCL2L13"</f>
        <v>BCL2L13</v>
      </c>
      <c r="B1443" t="s">
        <v>3</v>
      </c>
    </row>
    <row r="1444" spans="1:2" x14ac:dyDescent="0.2">
      <c r="A1444" t="str">
        <f>"BCL2L14"</f>
        <v>BCL2L14</v>
      </c>
      <c r="B1444" t="s">
        <v>3</v>
      </c>
    </row>
    <row r="1445" spans="1:2" x14ac:dyDescent="0.2">
      <c r="A1445" t="str">
        <f>"BCL2L15"</f>
        <v>BCL2L15</v>
      </c>
      <c r="B1445" t="s">
        <v>3</v>
      </c>
    </row>
    <row r="1446" spans="1:2" x14ac:dyDescent="0.2">
      <c r="A1446" t="str">
        <f>"BCL2L2"</f>
        <v>BCL2L2</v>
      </c>
      <c r="B1446" t="s">
        <v>3</v>
      </c>
    </row>
    <row r="1447" spans="1:2" x14ac:dyDescent="0.2">
      <c r="A1447" t="str">
        <f>"BCL2L2-PABPN1"</f>
        <v>BCL2L2-PABPN1</v>
      </c>
      <c r="B1447" t="s">
        <v>4</v>
      </c>
    </row>
    <row r="1448" spans="1:2" x14ac:dyDescent="0.2">
      <c r="A1448" t="str">
        <f>"BCL3"</f>
        <v>BCL3</v>
      </c>
      <c r="B1448" t="s">
        <v>3</v>
      </c>
    </row>
    <row r="1449" spans="1:2" x14ac:dyDescent="0.2">
      <c r="A1449" t="str">
        <f>"BCL6"</f>
        <v>BCL6</v>
      </c>
      <c r="B1449" t="s">
        <v>3</v>
      </c>
    </row>
    <row r="1450" spans="1:2" x14ac:dyDescent="0.2">
      <c r="A1450" t="str">
        <f>"BCL6B"</f>
        <v>BCL6B</v>
      </c>
      <c r="B1450" t="s">
        <v>8</v>
      </c>
    </row>
    <row r="1451" spans="1:2" x14ac:dyDescent="0.2">
      <c r="A1451" t="str">
        <f>"BCL7A"</f>
        <v>BCL7A</v>
      </c>
      <c r="B1451" t="s">
        <v>3</v>
      </c>
    </row>
    <row r="1452" spans="1:2" x14ac:dyDescent="0.2">
      <c r="A1452" t="str">
        <f>"BCL7B"</f>
        <v>BCL7B</v>
      </c>
      <c r="B1452" t="s">
        <v>3</v>
      </c>
    </row>
    <row r="1453" spans="1:2" x14ac:dyDescent="0.2">
      <c r="A1453" t="str">
        <f>"BCL7C"</f>
        <v>BCL7C</v>
      </c>
      <c r="B1453" t="s">
        <v>4</v>
      </c>
    </row>
    <row r="1454" spans="1:2" x14ac:dyDescent="0.2">
      <c r="A1454" t="str">
        <f>"BCL9"</f>
        <v>BCL9</v>
      </c>
      <c r="B1454" t="s">
        <v>3</v>
      </c>
    </row>
    <row r="1455" spans="1:2" x14ac:dyDescent="0.2">
      <c r="A1455" t="str">
        <f>"BCL9L"</f>
        <v>BCL9L</v>
      </c>
      <c r="B1455" t="s">
        <v>8</v>
      </c>
    </row>
    <row r="1456" spans="1:2" x14ac:dyDescent="0.2">
      <c r="A1456" t="str">
        <f>"BCLAF1"</f>
        <v>BCLAF1</v>
      </c>
      <c r="B1456" t="s">
        <v>3</v>
      </c>
    </row>
    <row r="1457" spans="1:2" x14ac:dyDescent="0.2">
      <c r="A1457" t="str">
        <f>"BCMO1"</f>
        <v>BCMO1</v>
      </c>
      <c r="B1457" t="s">
        <v>3</v>
      </c>
    </row>
    <row r="1458" spans="1:2" x14ac:dyDescent="0.2">
      <c r="A1458" t="str">
        <f>"BCO2"</f>
        <v>BCO2</v>
      </c>
      <c r="B1458" t="s">
        <v>6</v>
      </c>
    </row>
    <row r="1459" spans="1:2" x14ac:dyDescent="0.2">
      <c r="A1459" t="str">
        <f>"BCOR"</f>
        <v>BCOR</v>
      </c>
      <c r="B1459" t="s">
        <v>8</v>
      </c>
    </row>
    <row r="1460" spans="1:2" x14ac:dyDescent="0.2">
      <c r="A1460" t="str">
        <f>"BCORL1"</f>
        <v>BCORL1</v>
      </c>
      <c r="B1460" t="s">
        <v>8</v>
      </c>
    </row>
    <row r="1461" spans="1:2" x14ac:dyDescent="0.2">
      <c r="A1461" t="str">
        <f>"BCR"</f>
        <v>BCR</v>
      </c>
      <c r="B1461" t="s">
        <v>7</v>
      </c>
    </row>
    <row r="1462" spans="1:2" x14ac:dyDescent="0.2">
      <c r="A1462" t="str">
        <f>"BCS1L"</f>
        <v>BCS1L</v>
      </c>
      <c r="B1462" t="s">
        <v>2</v>
      </c>
    </row>
    <row r="1463" spans="1:2" x14ac:dyDescent="0.2">
      <c r="A1463" t="str">
        <f>"BDH1"</f>
        <v>BDH1</v>
      </c>
      <c r="B1463" t="s">
        <v>7</v>
      </c>
    </row>
    <row r="1464" spans="1:2" x14ac:dyDescent="0.2">
      <c r="A1464" t="str">
        <f>"BDH2"</f>
        <v>BDH2</v>
      </c>
      <c r="B1464" t="s">
        <v>6</v>
      </c>
    </row>
    <row r="1465" spans="1:2" x14ac:dyDescent="0.2">
      <c r="A1465" t="str">
        <f>"BDKRB1"</f>
        <v>BDKRB1</v>
      </c>
      <c r="B1465" t="s">
        <v>2</v>
      </c>
    </row>
    <row r="1466" spans="1:2" x14ac:dyDescent="0.2">
      <c r="A1466" t="str">
        <f>"BDKRB2"</f>
        <v>BDKRB2</v>
      </c>
      <c r="B1466" t="s">
        <v>7</v>
      </c>
    </row>
    <row r="1467" spans="1:2" x14ac:dyDescent="0.2">
      <c r="A1467" t="str">
        <f>"BDNF"</f>
        <v>BDNF</v>
      </c>
      <c r="B1467" t="s">
        <v>3</v>
      </c>
    </row>
    <row r="1468" spans="1:2" x14ac:dyDescent="0.2">
      <c r="A1468" t="str">
        <f>"BDP1"</f>
        <v>BDP1</v>
      </c>
      <c r="B1468" t="s">
        <v>8</v>
      </c>
    </row>
    <row r="1469" spans="1:2" x14ac:dyDescent="0.2">
      <c r="A1469" t="str">
        <f>"BEAN1"</f>
        <v>BEAN1</v>
      </c>
      <c r="B1469" t="s">
        <v>4</v>
      </c>
    </row>
    <row r="1470" spans="1:2" x14ac:dyDescent="0.2">
      <c r="A1470" t="str">
        <f>"BECN1"</f>
        <v>BECN1</v>
      </c>
      <c r="B1470" t="s">
        <v>2</v>
      </c>
    </row>
    <row r="1471" spans="1:2" x14ac:dyDescent="0.2">
      <c r="A1471" t="str">
        <f>"BEGAIN"</f>
        <v>BEGAIN</v>
      </c>
      <c r="B1471" t="s">
        <v>7</v>
      </c>
    </row>
    <row r="1472" spans="1:2" x14ac:dyDescent="0.2">
      <c r="A1472" t="str">
        <f>"BEND2"</f>
        <v>BEND2</v>
      </c>
      <c r="B1472" t="s">
        <v>3</v>
      </c>
    </row>
    <row r="1473" spans="1:2" x14ac:dyDescent="0.2">
      <c r="A1473" t="str">
        <f>"BEND3"</f>
        <v>BEND3</v>
      </c>
      <c r="B1473" t="s">
        <v>4</v>
      </c>
    </row>
    <row r="1474" spans="1:2" x14ac:dyDescent="0.2">
      <c r="A1474" t="str">
        <f>"BEND4"</f>
        <v>BEND4</v>
      </c>
      <c r="B1474" t="s">
        <v>4</v>
      </c>
    </row>
    <row r="1475" spans="1:2" x14ac:dyDescent="0.2">
      <c r="A1475" t="str">
        <f>"BEND5"</f>
        <v>BEND5</v>
      </c>
      <c r="B1475" t="s">
        <v>4</v>
      </c>
    </row>
    <row r="1476" spans="1:2" x14ac:dyDescent="0.2">
      <c r="A1476" t="str">
        <f>"BEND6"</f>
        <v>BEND6</v>
      </c>
      <c r="B1476" t="s">
        <v>4</v>
      </c>
    </row>
    <row r="1477" spans="1:2" x14ac:dyDescent="0.2">
      <c r="A1477" t="str">
        <f>"BEND7"</f>
        <v>BEND7</v>
      </c>
      <c r="B1477" t="s">
        <v>4</v>
      </c>
    </row>
    <row r="1478" spans="1:2" x14ac:dyDescent="0.2">
      <c r="A1478" t="str">
        <f>"BEST1"</f>
        <v>BEST1</v>
      </c>
      <c r="B1478" t="s">
        <v>4</v>
      </c>
    </row>
    <row r="1479" spans="1:2" x14ac:dyDescent="0.2">
      <c r="A1479" t="str">
        <f>"BEST2"</f>
        <v>BEST2</v>
      </c>
      <c r="B1479" t="s">
        <v>5</v>
      </c>
    </row>
    <row r="1480" spans="1:2" x14ac:dyDescent="0.2">
      <c r="A1480" t="str">
        <f>"BEST3"</f>
        <v>BEST3</v>
      </c>
      <c r="B1480" t="s">
        <v>5</v>
      </c>
    </row>
    <row r="1481" spans="1:2" x14ac:dyDescent="0.2">
      <c r="A1481" t="str">
        <f>"BEST4"</f>
        <v>BEST4</v>
      </c>
      <c r="B1481" t="s">
        <v>5</v>
      </c>
    </row>
    <row r="1482" spans="1:2" x14ac:dyDescent="0.2">
      <c r="A1482" t="str">
        <f>"BET1"</f>
        <v>BET1</v>
      </c>
      <c r="B1482" t="s">
        <v>2</v>
      </c>
    </row>
    <row r="1483" spans="1:2" x14ac:dyDescent="0.2">
      <c r="A1483" t="str">
        <f>"BET1L"</f>
        <v>BET1L</v>
      </c>
      <c r="B1483" t="s">
        <v>2</v>
      </c>
    </row>
    <row r="1484" spans="1:2" x14ac:dyDescent="0.2">
      <c r="A1484" t="str">
        <f>"BEX1"</f>
        <v>BEX1</v>
      </c>
      <c r="B1484" t="s">
        <v>3</v>
      </c>
    </row>
    <row r="1485" spans="1:2" x14ac:dyDescent="0.2">
      <c r="A1485" t="str">
        <f>"BEX2"</f>
        <v>BEX2</v>
      </c>
      <c r="B1485" t="s">
        <v>4</v>
      </c>
    </row>
    <row r="1486" spans="1:2" x14ac:dyDescent="0.2">
      <c r="A1486" t="str">
        <f>"BEX4"</f>
        <v>BEX4</v>
      </c>
      <c r="B1486" t="s">
        <v>4</v>
      </c>
    </row>
    <row r="1487" spans="1:2" x14ac:dyDescent="0.2">
      <c r="A1487" t="str">
        <f>"BEX5"</f>
        <v>BEX5</v>
      </c>
      <c r="B1487" t="s">
        <v>4</v>
      </c>
    </row>
    <row r="1488" spans="1:2" x14ac:dyDescent="0.2">
      <c r="A1488" t="str">
        <f>"BFAR"</f>
        <v>BFAR</v>
      </c>
      <c r="B1488" t="s">
        <v>2</v>
      </c>
    </row>
    <row r="1489" spans="1:2" x14ac:dyDescent="0.2">
      <c r="A1489" t="str">
        <f>"BFSP1"</f>
        <v>BFSP1</v>
      </c>
      <c r="B1489" t="s">
        <v>6</v>
      </c>
    </row>
    <row r="1490" spans="1:2" x14ac:dyDescent="0.2">
      <c r="A1490" t="str">
        <f>"BFSP2"</f>
        <v>BFSP2</v>
      </c>
      <c r="B1490" t="s">
        <v>6</v>
      </c>
    </row>
    <row r="1491" spans="1:2" x14ac:dyDescent="0.2">
      <c r="A1491" t="str">
        <f>"BGLAP"</f>
        <v>BGLAP</v>
      </c>
      <c r="B1491" t="s">
        <v>7</v>
      </c>
    </row>
    <row r="1492" spans="1:2" x14ac:dyDescent="0.2">
      <c r="A1492" t="str">
        <f>"BGN"</f>
        <v>BGN</v>
      </c>
      <c r="B1492" t="s">
        <v>2</v>
      </c>
    </row>
    <row r="1493" spans="1:2" x14ac:dyDescent="0.2">
      <c r="A1493" t="str">
        <f>"BHLHA15"</f>
        <v>BHLHA15</v>
      </c>
      <c r="B1493" t="s">
        <v>2</v>
      </c>
    </row>
    <row r="1494" spans="1:2" x14ac:dyDescent="0.2">
      <c r="A1494" t="str">
        <f>"BHLHA9"</f>
        <v>BHLHA9</v>
      </c>
      <c r="B1494" t="s">
        <v>8</v>
      </c>
    </row>
    <row r="1495" spans="1:2" x14ac:dyDescent="0.2">
      <c r="A1495" t="str">
        <f>"BHLHB9"</f>
        <v>BHLHB9</v>
      </c>
      <c r="B1495" t="s">
        <v>4</v>
      </c>
    </row>
    <row r="1496" spans="1:2" x14ac:dyDescent="0.2">
      <c r="A1496" t="str">
        <f>"BHLHE22"</f>
        <v>BHLHE22</v>
      </c>
      <c r="B1496" t="s">
        <v>8</v>
      </c>
    </row>
    <row r="1497" spans="1:2" x14ac:dyDescent="0.2">
      <c r="A1497" t="str">
        <f>"BHLHE23"</f>
        <v>BHLHE23</v>
      </c>
      <c r="B1497" t="s">
        <v>8</v>
      </c>
    </row>
    <row r="1498" spans="1:2" x14ac:dyDescent="0.2">
      <c r="A1498" t="str">
        <f>"BHLHE40"</f>
        <v>BHLHE40</v>
      </c>
      <c r="B1498" t="s">
        <v>8</v>
      </c>
    </row>
    <row r="1499" spans="1:2" x14ac:dyDescent="0.2">
      <c r="A1499" t="str">
        <f>"BHLHE41"</f>
        <v>BHLHE41</v>
      </c>
      <c r="B1499" t="s">
        <v>8</v>
      </c>
    </row>
    <row r="1500" spans="1:2" x14ac:dyDescent="0.2">
      <c r="A1500" t="str">
        <f>"BHMT"</f>
        <v>BHMT</v>
      </c>
      <c r="B1500" t="s">
        <v>7</v>
      </c>
    </row>
    <row r="1501" spans="1:2" x14ac:dyDescent="0.2">
      <c r="A1501" t="str">
        <f>"BHMT2"</f>
        <v>BHMT2</v>
      </c>
      <c r="B1501" t="s">
        <v>7</v>
      </c>
    </row>
    <row r="1502" spans="1:2" x14ac:dyDescent="0.2">
      <c r="A1502" t="str">
        <f>"BICC1"</f>
        <v>BICC1</v>
      </c>
      <c r="B1502" t="s">
        <v>8</v>
      </c>
    </row>
    <row r="1503" spans="1:2" x14ac:dyDescent="0.2">
      <c r="A1503" t="str">
        <f>"BICD1"</f>
        <v>BICD1</v>
      </c>
      <c r="B1503" t="s">
        <v>8</v>
      </c>
    </row>
    <row r="1504" spans="1:2" x14ac:dyDescent="0.2">
      <c r="A1504" t="str">
        <f>"BICD2"</f>
        <v>BICD2</v>
      </c>
      <c r="B1504" t="s">
        <v>6</v>
      </c>
    </row>
    <row r="1505" spans="1:2" x14ac:dyDescent="0.2">
      <c r="A1505" t="str">
        <f>"BID"</f>
        <v>BID</v>
      </c>
      <c r="B1505" t="s">
        <v>3</v>
      </c>
    </row>
    <row r="1506" spans="1:2" x14ac:dyDescent="0.2">
      <c r="A1506" t="str">
        <f>"BIK"</f>
        <v>BIK</v>
      </c>
      <c r="B1506" t="s">
        <v>3</v>
      </c>
    </row>
    <row r="1507" spans="1:2" x14ac:dyDescent="0.2">
      <c r="A1507" t="str">
        <f>"BIN1"</f>
        <v>BIN1</v>
      </c>
      <c r="B1507" t="s">
        <v>3</v>
      </c>
    </row>
    <row r="1508" spans="1:2" x14ac:dyDescent="0.2">
      <c r="A1508" t="str">
        <f>"BIN2"</f>
        <v>BIN2</v>
      </c>
      <c r="B1508" t="s">
        <v>6</v>
      </c>
    </row>
    <row r="1509" spans="1:2" x14ac:dyDescent="0.2">
      <c r="A1509" t="str">
        <f>"BIN3"</f>
        <v>BIN3</v>
      </c>
      <c r="B1509" t="s">
        <v>3</v>
      </c>
    </row>
    <row r="1510" spans="1:2" x14ac:dyDescent="0.2">
      <c r="A1510" t="str">
        <f>"BIRC2"</f>
        <v>BIRC2</v>
      </c>
      <c r="B1510" t="s">
        <v>2</v>
      </c>
    </row>
    <row r="1511" spans="1:2" x14ac:dyDescent="0.2">
      <c r="A1511" t="str">
        <f>"BIRC3"</f>
        <v>BIRC3</v>
      </c>
      <c r="B1511" t="s">
        <v>3</v>
      </c>
    </row>
    <row r="1512" spans="1:2" x14ac:dyDescent="0.2">
      <c r="A1512" t="str">
        <f>"BIRC5"</f>
        <v>BIRC5</v>
      </c>
      <c r="B1512" t="s">
        <v>3</v>
      </c>
    </row>
    <row r="1513" spans="1:2" x14ac:dyDescent="0.2">
      <c r="A1513" t="str">
        <f>"BIRC6"</f>
        <v>BIRC6</v>
      </c>
      <c r="B1513" t="s">
        <v>3</v>
      </c>
    </row>
    <row r="1514" spans="1:2" x14ac:dyDescent="0.2">
      <c r="A1514" t="str">
        <f>"BIRC7"</f>
        <v>BIRC7</v>
      </c>
      <c r="B1514" t="s">
        <v>2</v>
      </c>
    </row>
    <row r="1515" spans="1:2" x14ac:dyDescent="0.2">
      <c r="A1515" t="str">
        <f>"BIRC8"</f>
        <v>BIRC8</v>
      </c>
      <c r="B1515" t="s">
        <v>2</v>
      </c>
    </row>
    <row r="1516" spans="1:2" x14ac:dyDescent="0.2">
      <c r="A1516" t="str">
        <f>"BIVM"</f>
        <v>BIVM</v>
      </c>
      <c r="B1516" t="s">
        <v>3</v>
      </c>
    </row>
    <row r="1517" spans="1:2" x14ac:dyDescent="0.2">
      <c r="A1517" t="str">
        <f>"BIVM-ERCC5"</f>
        <v>BIVM-ERCC5</v>
      </c>
      <c r="B1517" t="s">
        <v>4</v>
      </c>
    </row>
    <row r="1518" spans="1:2" x14ac:dyDescent="0.2">
      <c r="A1518" t="str">
        <f>"BLCAP"</f>
        <v>BLCAP</v>
      </c>
      <c r="B1518" t="s">
        <v>5</v>
      </c>
    </row>
    <row r="1519" spans="1:2" x14ac:dyDescent="0.2">
      <c r="A1519" t="str">
        <f>"BLID"</f>
        <v>BLID</v>
      </c>
      <c r="B1519" t="s">
        <v>6</v>
      </c>
    </row>
    <row r="1520" spans="1:2" x14ac:dyDescent="0.2">
      <c r="A1520" t="str">
        <f>"BLK"</f>
        <v>BLK</v>
      </c>
      <c r="B1520" t="s">
        <v>7</v>
      </c>
    </row>
    <row r="1521" spans="1:2" x14ac:dyDescent="0.2">
      <c r="A1521" t="str">
        <f>"BLM"</f>
        <v>BLM</v>
      </c>
      <c r="B1521" t="s">
        <v>3</v>
      </c>
    </row>
    <row r="1522" spans="1:2" x14ac:dyDescent="0.2">
      <c r="A1522" t="str">
        <f>"BLMH"</f>
        <v>BLMH</v>
      </c>
      <c r="B1522" t="s">
        <v>2</v>
      </c>
    </row>
    <row r="1523" spans="1:2" x14ac:dyDescent="0.2">
      <c r="A1523" t="str">
        <f>"BLNK"</f>
        <v>BLNK</v>
      </c>
      <c r="B1523" t="s">
        <v>3</v>
      </c>
    </row>
    <row r="1524" spans="1:2" x14ac:dyDescent="0.2">
      <c r="A1524" t="str">
        <f>"BLOC1S1"</f>
        <v>BLOC1S1</v>
      </c>
      <c r="B1524" t="s">
        <v>6</v>
      </c>
    </row>
    <row r="1525" spans="1:2" x14ac:dyDescent="0.2">
      <c r="A1525" t="str">
        <f>"BLOC1S2"</f>
        <v>BLOC1S2</v>
      </c>
      <c r="B1525" t="s">
        <v>3</v>
      </c>
    </row>
    <row r="1526" spans="1:2" x14ac:dyDescent="0.2">
      <c r="A1526" t="str">
        <f>"BLOC1S3"</f>
        <v>BLOC1S3</v>
      </c>
      <c r="B1526" t="s">
        <v>3</v>
      </c>
    </row>
    <row r="1527" spans="1:2" x14ac:dyDescent="0.2">
      <c r="A1527" t="str">
        <f>"BLOC1S4"</f>
        <v>BLOC1S4</v>
      </c>
      <c r="B1527" t="s">
        <v>4</v>
      </c>
    </row>
    <row r="1528" spans="1:2" x14ac:dyDescent="0.2">
      <c r="A1528" t="str">
        <f>"BLOC1S5"</f>
        <v>BLOC1S5</v>
      </c>
      <c r="B1528" t="s">
        <v>6</v>
      </c>
    </row>
    <row r="1529" spans="1:2" x14ac:dyDescent="0.2">
      <c r="A1529" t="str">
        <f>"BLOC1S6"</f>
        <v>BLOC1S6</v>
      </c>
      <c r="B1529" t="s">
        <v>2</v>
      </c>
    </row>
    <row r="1530" spans="1:2" x14ac:dyDescent="0.2">
      <c r="A1530" t="str">
        <f>"BLVRA"</f>
        <v>BLVRA</v>
      </c>
      <c r="B1530" t="s">
        <v>7</v>
      </c>
    </row>
    <row r="1531" spans="1:2" x14ac:dyDescent="0.2">
      <c r="A1531" t="str">
        <f>"BLVRB"</f>
        <v>BLVRB</v>
      </c>
      <c r="B1531" t="s">
        <v>7</v>
      </c>
    </row>
    <row r="1532" spans="1:2" x14ac:dyDescent="0.2">
      <c r="A1532" t="str">
        <f>"BLZF1"</f>
        <v>BLZF1</v>
      </c>
      <c r="B1532" t="s">
        <v>2</v>
      </c>
    </row>
    <row r="1533" spans="1:2" x14ac:dyDescent="0.2">
      <c r="A1533" t="str">
        <f>"BMF"</f>
        <v>BMF</v>
      </c>
      <c r="B1533" t="s">
        <v>3</v>
      </c>
    </row>
    <row r="1534" spans="1:2" x14ac:dyDescent="0.2">
      <c r="A1534" t="str">
        <f>"BMI1"</f>
        <v>BMI1</v>
      </c>
      <c r="B1534" t="s">
        <v>2</v>
      </c>
    </row>
    <row r="1535" spans="1:2" x14ac:dyDescent="0.2">
      <c r="A1535" t="str">
        <f>"BMP1"</f>
        <v>BMP1</v>
      </c>
      <c r="B1535" t="s">
        <v>2</v>
      </c>
    </row>
    <row r="1536" spans="1:2" x14ac:dyDescent="0.2">
      <c r="A1536" t="str">
        <f>"BMP10"</f>
        <v>BMP10</v>
      </c>
      <c r="B1536" t="s">
        <v>4</v>
      </c>
    </row>
    <row r="1537" spans="1:2" x14ac:dyDescent="0.2">
      <c r="A1537" t="str">
        <f>"BMP15"</f>
        <v>BMP15</v>
      </c>
      <c r="B1537" t="s">
        <v>4</v>
      </c>
    </row>
    <row r="1538" spans="1:2" x14ac:dyDescent="0.2">
      <c r="A1538" t="str">
        <f>"BMP2"</f>
        <v>BMP2</v>
      </c>
      <c r="B1538" t="s">
        <v>3</v>
      </c>
    </row>
    <row r="1539" spans="1:2" x14ac:dyDescent="0.2">
      <c r="A1539" t="str">
        <f>"BMP2K"</f>
        <v>BMP2K</v>
      </c>
      <c r="B1539" t="s">
        <v>7</v>
      </c>
    </row>
    <row r="1540" spans="1:2" x14ac:dyDescent="0.2">
      <c r="A1540" t="str">
        <f>"BMP3"</f>
        <v>BMP3</v>
      </c>
      <c r="B1540" t="s">
        <v>4</v>
      </c>
    </row>
    <row r="1541" spans="1:2" x14ac:dyDescent="0.2">
      <c r="A1541" t="str">
        <f>"BMP4"</f>
        <v>BMP4</v>
      </c>
      <c r="B1541" t="s">
        <v>3</v>
      </c>
    </row>
    <row r="1542" spans="1:2" x14ac:dyDescent="0.2">
      <c r="A1542" t="str">
        <f>"BMP5"</f>
        <v>BMP5</v>
      </c>
      <c r="B1542" t="s">
        <v>4</v>
      </c>
    </row>
    <row r="1543" spans="1:2" x14ac:dyDescent="0.2">
      <c r="A1543" t="str">
        <f>"BMP6"</f>
        <v>BMP6</v>
      </c>
      <c r="B1543" t="s">
        <v>2</v>
      </c>
    </row>
    <row r="1544" spans="1:2" x14ac:dyDescent="0.2">
      <c r="A1544" t="str">
        <f>"BMP7"</f>
        <v>BMP7</v>
      </c>
      <c r="B1544" t="s">
        <v>3</v>
      </c>
    </row>
    <row r="1545" spans="1:2" x14ac:dyDescent="0.2">
      <c r="A1545" t="str">
        <f>"BMP8A"</f>
        <v>BMP8A</v>
      </c>
      <c r="B1545" t="s">
        <v>4</v>
      </c>
    </row>
    <row r="1546" spans="1:2" x14ac:dyDescent="0.2">
      <c r="A1546" t="str">
        <f>"BMP8B"</f>
        <v>BMP8B</v>
      </c>
      <c r="B1546" t="s">
        <v>4</v>
      </c>
    </row>
    <row r="1547" spans="1:2" x14ac:dyDescent="0.2">
      <c r="A1547" t="str">
        <f>"BMPER"</f>
        <v>BMPER</v>
      </c>
      <c r="B1547" t="s">
        <v>4</v>
      </c>
    </row>
    <row r="1548" spans="1:2" x14ac:dyDescent="0.2">
      <c r="A1548" t="str">
        <f>"BMPR1A"</f>
        <v>BMPR1A</v>
      </c>
      <c r="B1548" t="s">
        <v>7</v>
      </c>
    </row>
    <row r="1549" spans="1:2" x14ac:dyDescent="0.2">
      <c r="A1549" t="str">
        <f>"BMPR1B"</f>
        <v>BMPR1B</v>
      </c>
      <c r="B1549" t="s">
        <v>7</v>
      </c>
    </row>
    <row r="1550" spans="1:2" x14ac:dyDescent="0.2">
      <c r="A1550" t="str">
        <f>"BMPR2"</f>
        <v>BMPR2</v>
      </c>
      <c r="B1550" t="s">
        <v>7</v>
      </c>
    </row>
    <row r="1551" spans="1:2" x14ac:dyDescent="0.2">
      <c r="A1551" t="str">
        <f>"BMS1"</f>
        <v>BMS1</v>
      </c>
      <c r="B1551" t="s">
        <v>6</v>
      </c>
    </row>
    <row r="1552" spans="1:2" x14ac:dyDescent="0.2">
      <c r="A1552" t="str">
        <f>"BMX"</f>
        <v>BMX</v>
      </c>
      <c r="B1552" t="s">
        <v>7</v>
      </c>
    </row>
    <row r="1553" spans="1:2" x14ac:dyDescent="0.2">
      <c r="A1553" t="str">
        <f>"BNC1"</f>
        <v>BNC1</v>
      </c>
      <c r="B1553" t="s">
        <v>8</v>
      </c>
    </row>
    <row r="1554" spans="1:2" x14ac:dyDescent="0.2">
      <c r="A1554" t="str">
        <f>"BNC2"</f>
        <v>BNC2</v>
      </c>
      <c r="B1554" t="s">
        <v>8</v>
      </c>
    </row>
    <row r="1555" spans="1:2" x14ac:dyDescent="0.2">
      <c r="A1555" t="str">
        <f>"BNIP1"</f>
        <v>BNIP1</v>
      </c>
      <c r="B1555" t="s">
        <v>3</v>
      </c>
    </row>
    <row r="1556" spans="1:2" x14ac:dyDescent="0.2">
      <c r="A1556" t="str">
        <f>"BNIP2"</f>
        <v>BNIP2</v>
      </c>
      <c r="B1556" t="s">
        <v>3</v>
      </c>
    </row>
    <row r="1557" spans="1:2" x14ac:dyDescent="0.2">
      <c r="A1557" t="str">
        <f>"BNIP3"</f>
        <v>BNIP3</v>
      </c>
      <c r="B1557" t="s">
        <v>3</v>
      </c>
    </row>
    <row r="1558" spans="1:2" x14ac:dyDescent="0.2">
      <c r="A1558" t="str">
        <f>"BNIP3L"</f>
        <v>BNIP3L</v>
      </c>
      <c r="B1558" t="s">
        <v>3</v>
      </c>
    </row>
    <row r="1559" spans="1:2" x14ac:dyDescent="0.2">
      <c r="A1559" t="str">
        <f>"BNIPL"</f>
        <v>BNIPL</v>
      </c>
      <c r="B1559" t="s">
        <v>4</v>
      </c>
    </row>
    <row r="1560" spans="1:2" x14ac:dyDescent="0.2">
      <c r="A1560" t="str">
        <f>"BOC"</f>
        <v>BOC</v>
      </c>
      <c r="B1560" t="s">
        <v>5</v>
      </c>
    </row>
    <row r="1561" spans="1:2" x14ac:dyDescent="0.2">
      <c r="A1561" t="str">
        <f>"BOD1"</f>
        <v>BOD1</v>
      </c>
      <c r="B1561" t="s">
        <v>3</v>
      </c>
    </row>
    <row r="1562" spans="1:2" x14ac:dyDescent="0.2">
      <c r="A1562" t="str">
        <f>"BOD1L1"</f>
        <v>BOD1L1</v>
      </c>
      <c r="B1562" t="s">
        <v>8</v>
      </c>
    </row>
    <row r="1563" spans="1:2" x14ac:dyDescent="0.2">
      <c r="A1563" t="str">
        <f>"BOD1L2"</f>
        <v>BOD1L2</v>
      </c>
      <c r="B1563" t="s">
        <v>4</v>
      </c>
    </row>
    <row r="1564" spans="1:2" x14ac:dyDescent="0.2">
      <c r="A1564" t="str">
        <f>"BOK"</f>
        <v>BOK</v>
      </c>
      <c r="B1564" t="s">
        <v>3</v>
      </c>
    </row>
    <row r="1565" spans="1:2" x14ac:dyDescent="0.2">
      <c r="A1565" t="str">
        <f>"BOLA1"</f>
        <v>BOLA1</v>
      </c>
      <c r="B1565" t="s">
        <v>6</v>
      </c>
    </row>
    <row r="1566" spans="1:2" x14ac:dyDescent="0.2">
      <c r="A1566" t="str">
        <f>"BOLA2"</f>
        <v>BOLA2</v>
      </c>
      <c r="B1566" t="s">
        <v>8</v>
      </c>
    </row>
    <row r="1567" spans="1:2" x14ac:dyDescent="0.2">
      <c r="A1567" t="str">
        <f>"BOLA2B"</f>
        <v>BOLA2B</v>
      </c>
      <c r="B1567" t="s">
        <v>8</v>
      </c>
    </row>
    <row r="1568" spans="1:2" x14ac:dyDescent="0.2">
      <c r="A1568" t="str">
        <f>"BOLA3"</f>
        <v>BOLA3</v>
      </c>
      <c r="B1568" t="s">
        <v>6</v>
      </c>
    </row>
    <row r="1569" spans="1:2" x14ac:dyDescent="0.2">
      <c r="A1569" t="str">
        <f>"BOLL"</f>
        <v>BOLL</v>
      </c>
      <c r="B1569" t="s">
        <v>8</v>
      </c>
    </row>
    <row r="1570" spans="1:2" x14ac:dyDescent="0.2">
      <c r="A1570" t="str">
        <f>"BOP1"</f>
        <v>BOP1</v>
      </c>
      <c r="B1570" t="s">
        <v>8</v>
      </c>
    </row>
    <row r="1571" spans="1:2" x14ac:dyDescent="0.2">
      <c r="A1571" t="str">
        <f>"BORA"</f>
        <v>BORA</v>
      </c>
      <c r="B1571" t="s">
        <v>3</v>
      </c>
    </row>
    <row r="1572" spans="1:2" x14ac:dyDescent="0.2">
      <c r="A1572" t="str">
        <f>"BPGM"</f>
        <v>BPGM</v>
      </c>
      <c r="B1572" t="s">
        <v>3</v>
      </c>
    </row>
    <row r="1573" spans="1:2" x14ac:dyDescent="0.2">
      <c r="A1573" t="str">
        <f>"BPHL"</f>
        <v>BPHL</v>
      </c>
      <c r="B1573" t="s">
        <v>7</v>
      </c>
    </row>
    <row r="1574" spans="1:2" x14ac:dyDescent="0.2">
      <c r="A1574" t="str">
        <f>"BPI"</f>
        <v>BPI</v>
      </c>
      <c r="B1574" t="s">
        <v>7</v>
      </c>
    </row>
    <row r="1575" spans="1:2" x14ac:dyDescent="0.2">
      <c r="A1575" t="str">
        <f>"BPIFA1"</f>
        <v>BPIFA1</v>
      </c>
      <c r="B1575" t="s">
        <v>6</v>
      </c>
    </row>
    <row r="1576" spans="1:2" x14ac:dyDescent="0.2">
      <c r="A1576" t="str">
        <f>"BPIFA2"</f>
        <v>BPIFA2</v>
      </c>
      <c r="B1576" t="s">
        <v>2</v>
      </c>
    </row>
    <row r="1577" spans="1:2" x14ac:dyDescent="0.2">
      <c r="A1577" t="str">
        <f>"BPIFA3"</f>
        <v>BPIFA3</v>
      </c>
      <c r="B1577" t="s">
        <v>2</v>
      </c>
    </row>
    <row r="1578" spans="1:2" x14ac:dyDescent="0.2">
      <c r="A1578" t="str">
        <f>"BPIFB1"</f>
        <v>BPIFB1</v>
      </c>
      <c r="B1578" t="s">
        <v>6</v>
      </c>
    </row>
    <row r="1579" spans="1:2" x14ac:dyDescent="0.2">
      <c r="A1579" t="str">
        <f>"BPIFB2"</f>
        <v>BPIFB2</v>
      </c>
      <c r="B1579" t="s">
        <v>6</v>
      </c>
    </row>
    <row r="1580" spans="1:2" x14ac:dyDescent="0.2">
      <c r="A1580" t="str">
        <f>"BPIFB3"</f>
        <v>BPIFB3</v>
      </c>
      <c r="B1580" t="s">
        <v>2</v>
      </c>
    </row>
    <row r="1581" spans="1:2" x14ac:dyDescent="0.2">
      <c r="A1581" t="str">
        <f>"BPIFB4"</f>
        <v>BPIFB4</v>
      </c>
      <c r="B1581" t="s">
        <v>2</v>
      </c>
    </row>
    <row r="1582" spans="1:2" x14ac:dyDescent="0.2">
      <c r="A1582" t="str">
        <f>"BPIFB6"</f>
        <v>BPIFB6</v>
      </c>
      <c r="B1582" t="s">
        <v>2</v>
      </c>
    </row>
    <row r="1583" spans="1:2" x14ac:dyDescent="0.2">
      <c r="A1583" t="str">
        <f>"BPIFC"</f>
        <v>BPIFC</v>
      </c>
      <c r="B1583" t="s">
        <v>2</v>
      </c>
    </row>
    <row r="1584" spans="1:2" x14ac:dyDescent="0.2">
      <c r="A1584" t="str">
        <f>"BPNT1"</f>
        <v>BPNT1</v>
      </c>
      <c r="B1584" t="s">
        <v>8</v>
      </c>
    </row>
    <row r="1585" spans="1:2" x14ac:dyDescent="0.2">
      <c r="A1585" t="str">
        <f>"BPTF"</f>
        <v>BPTF</v>
      </c>
      <c r="B1585" t="s">
        <v>8</v>
      </c>
    </row>
    <row r="1586" spans="1:2" x14ac:dyDescent="0.2">
      <c r="A1586" t="str">
        <f>"BPY2"</f>
        <v>BPY2</v>
      </c>
      <c r="B1586" t="s">
        <v>4</v>
      </c>
    </row>
    <row r="1587" spans="1:2" x14ac:dyDescent="0.2">
      <c r="A1587" t="str">
        <f>"BPY2B"</f>
        <v>BPY2B</v>
      </c>
      <c r="B1587" t="s">
        <v>4</v>
      </c>
    </row>
    <row r="1588" spans="1:2" x14ac:dyDescent="0.2">
      <c r="A1588" t="str">
        <f>"BPY2C"</f>
        <v>BPY2C</v>
      </c>
      <c r="B1588" t="s">
        <v>4</v>
      </c>
    </row>
    <row r="1589" spans="1:2" x14ac:dyDescent="0.2">
      <c r="A1589" t="str">
        <f>"BRAF"</f>
        <v>BRAF</v>
      </c>
      <c r="B1589" t="s">
        <v>7</v>
      </c>
    </row>
    <row r="1590" spans="1:2" x14ac:dyDescent="0.2">
      <c r="A1590" t="str">
        <f>"BRAP"</f>
        <v>BRAP</v>
      </c>
      <c r="B1590" t="s">
        <v>2</v>
      </c>
    </row>
    <row r="1591" spans="1:2" x14ac:dyDescent="0.2">
      <c r="A1591" t="str">
        <f>"BRAT1"</f>
        <v>BRAT1</v>
      </c>
      <c r="B1591" t="s">
        <v>3</v>
      </c>
    </row>
    <row r="1592" spans="1:2" x14ac:dyDescent="0.2">
      <c r="A1592" t="str">
        <f>"BRCA1"</f>
        <v>BRCA1</v>
      </c>
      <c r="B1592" t="s">
        <v>3</v>
      </c>
    </row>
    <row r="1593" spans="1:2" x14ac:dyDescent="0.2">
      <c r="A1593" t="str">
        <f>"BRCA2"</f>
        <v>BRCA2</v>
      </c>
      <c r="B1593" t="s">
        <v>3</v>
      </c>
    </row>
    <row r="1594" spans="1:2" x14ac:dyDescent="0.2">
      <c r="A1594" t="str">
        <f>"BRCC3"</f>
        <v>BRCC3</v>
      </c>
      <c r="B1594" t="s">
        <v>3</v>
      </c>
    </row>
    <row r="1595" spans="1:2" x14ac:dyDescent="0.2">
      <c r="A1595" t="str">
        <f>"BRD1"</f>
        <v>BRD1</v>
      </c>
      <c r="B1595" t="s">
        <v>3</v>
      </c>
    </row>
    <row r="1596" spans="1:2" x14ac:dyDescent="0.2">
      <c r="A1596" t="str">
        <f>"BRD2"</f>
        <v>BRD2</v>
      </c>
      <c r="B1596" t="s">
        <v>7</v>
      </c>
    </row>
    <row r="1597" spans="1:2" x14ac:dyDescent="0.2">
      <c r="A1597" t="str">
        <f>"BRD3"</f>
        <v>BRD3</v>
      </c>
      <c r="B1597" t="s">
        <v>7</v>
      </c>
    </row>
    <row r="1598" spans="1:2" x14ac:dyDescent="0.2">
      <c r="A1598" t="str">
        <f>"BRD4"</f>
        <v>BRD4</v>
      </c>
      <c r="B1598" t="s">
        <v>7</v>
      </c>
    </row>
    <row r="1599" spans="1:2" x14ac:dyDescent="0.2">
      <c r="A1599" t="str">
        <f>"BRD7"</f>
        <v>BRD7</v>
      </c>
      <c r="B1599" t="s">
        <v>8</v>
      </c>
    </row>
    <row r="1600" spans="1:2" x14ac:dyDescent="0.2">
      <c r="A1600" t="str">
        <f>"BRD8"</f>
        <v>BRD8</v>
      </c>
      <c r="B1600" t="s">
        <v>6</v>
      </c>
    </row>
    <row r="1601" spans="1:2" x14ac:dyDescent="0.2">
      <c r="A1601" t="str">
        <f>"BRD9"</f>
        <v>BRD9</v>
      </c>
      <c r="B1601" t="s">
        <v>8</v>
      </c>
    </row>
    <row r="1602" spans="1:2" x14ac:dyDescent="0.2">
      <c r="A1602" t="str">
        <f>"BRDT"</f>
        <v>BRDT</v>
      </c>
      <c r="B1602" t="s">
        <v>7</v>
      </c>
    </row>
    <row r="1603" spans="1:2" x14ac:dyDescent="0.2">
      <c r="A1603" t="str">
        <f>"BRE"</f>
        <v>BRE</v>
      </c>
      <c r="B1603" t="s">
        <v>3</v>
      </c>
    </row>
    <row r="1604" spans="1:2" x14ac:dyDescent="0.2">
      <c r="A1604" t="str">
        <f>"BRF1"</f>
        <v>BRF1</v>
      </c>
      <c r="B1604" t="s">
        <v>8</v>
      </c>
    </row>
    <row r="1605" spans="1:2" x14ac:dyDescent="0.2">
      <c r="A1605" t="str">
        <f>"BRF2"</f>
        <v>BRF2</v>
      </c>
      <c r="B1605" t="s">
        <v>8</v>
      </c>
    </row>
    <row r="1606" spans="1:2" x14ac:dyDescent="0.2">
      <c r="A1606" t="str">
        <f>"BRI3"</f>
        <v>BRI3</v>
      </c>
      <c r="B1606" t="s">
        <v>5</v>
      </c>
    </row>
    <row r="1607" spans="1:2" x14ac:dyDescent="0.2">
      <c r="A1607" t="str">
        <f>"BRI3BP"</f>
        <v>BRI3BP</v>
      </c>
      <c r="B1607" t="s">
        <v>6</v>
      </c>
    </row>
    <row r="1608" spans="1:2" x14ac:dyDescent="0.2">
      <c r="A1608" t="str">
        <f>"BRICD5"</f>
        <v>BRICD5</v>
      </c>
      <c r="B1608" t="s">
        <v>5</v>
      </c>
    </row>
    <row r="1609" spans="1:2" x14ac:dyDescent="0.2">
      <c r="A1609" t="str">
        <f>"BRINP1"</f>
        <v>BRINP1</v>
      </c>
      <c r="B1609" t="s">
        <v>3</v>
      </c>
    </row>
    <row r="1610" spans="1:2" x14ac:dyDescent="0.2">
      <c r="A1610" t="str">
        <f>"BRINP2"</f>
        <v>BRINP2</v>
      </c>
      <c r="B1610" t="s">
        <v>3</v>
      </c>
    </row>
    <row r="1611" spans="1:2" x14ac:dyDescent="0.2">
      <c r="A1611" t="str">
        <f>"BRINP3"</f>
        <v>BRINP3</v>
      </c>
      <c r="B1611" t="s">
        <v>3</v>
      </c>
    </row>
    <row r="1612" spans="1:2" x14ac:dyDescent="0.2">
      <c r="A1612" t="str">
        <f>"BRIP1"</f>
        <v>BRIP1</v>
      </c>
      <c r="B1612" t="s">
        <v>3</v>
      </c>
    </row>
    <row r="1613" spans="1:2" x14ac:dyDescent="0.2">
      <c r="A1613" t="str">
        <f>"BRIX1"</f>
        <v>BRIX1</v>
      </c>
      <c r="B1613" t="s">
        <v>2</v>
      </c>
    </row>
    <row r="1614" spans="1:2" x14ac:dyDescent="0.2">
      <c r="A1614" t="str">
        <f>"BRK1"</f>
        <v>BRK1</v>
      </c>
      <c r="B1614" t="s">
        <v>6</v>
      </c>
    </row>
    <row r="1615" spans="1:2" x14ac:dyDescent="0.2">
      <c r="A1615" t="str">
        <f>"BRMS1"</f>
        <v>BRMS1</v>
      </c>
      <c r="B1615" t="s">
        <v>3</v>
      </c>
    </row>
    <row r="1616" spans="1:2" x14ac:dyDescent="0.2">
      <c r="A1616" t="str">
        <f>"BRMS1L"</f>
        <v>BRMS1L</v>
      </c>
      <c r="B1616" t="s">
        <v>8</v>
      </c>
    </row>
    <row r="1617" spans="1:2" x14ac:dyDescent="0.2">
      <c r="A1617" t="str">
        <f>"BROX"</f>
        <v>BROX</v>
      </c>
      <c r="B1617" t="s">
        <v>2</v>
      </c>
    </row>
    <row r="1618" spans="1:2" x14ac:dyDescent="0.2">
      <c r="A1618" t="str">
        <f>"BRPF1"</f>
        <v>BRPF1</v>
      </c>
      <c r="B1618" t="s">
        <v>2</v>
      </c>
    </row>
    <row r="1619" spans="1:2" x14ac:dyDescent="0.2">
      <c r="A1619" t="str">
        <f>"BRPF3"</f>
        <v>BRPF3</v>
      </c>
      <c r="B1619" t="s">
        <v>2</v>
      </c>
    </row>
    <row r="1620" spans="1:2" x14ac:dyDescent="0.2">
      <c r="A1620" t="str">
        <f>"BRS3"</f>
        <v>BRS3</v>
      </c>
      <c r="B1620" t="s">
        <v>5</v>
      </c>
    </row>
    <row r="1621" spans="1:2" x14ac:dyDescent="0.2">
      <c r="A1621" t="str">
        <f>"BRSK1"</f>
        <v>BRSK1</v>
      </c>
      <c r="B1621" t="s">
        <v>7</v>
      </c>
    </row>
    <row r="1622" spans="1:2" x14ac:dyDescent="0.2">
      <c r="A1622" t="str">
        <f>"BRSK2"</f>
        <v>BRSK2</v>
      </c>
      <c r="B1622" t="s">
        <v>7</v>
      </c>
    </row>
    <row r="1623" spans="1:2" x14ac:dyDescent="0.2">
      <c r="A1623" t="str">
        <f>"BRWD1"</f>
        <v>BRWD1</v>
      </c>
      <c r="B1623" t="s">
        <v>8</v>
      </c>
    </row>
    <row r="1624" spans="1:2" x14ac:dyDescent="0.2">
      <c r="A1624" t="str">
        <f>"BRWD3"</f>
        <v>BRWD3</v>
      </c>
      <c r="B1624" t="s">
        <v>4</v>
      </c>
    </row>
    <row r="1625" spans="1:2" x14ac:dyDescent="0.2">
      <c r="A1625" t="str">
        <f>"BSCL2"</f>
        <v>BSCL2</v>
      </c>
      <c r="B1625" t="s">
        <v>2</v>
      </c>
    </row>
    <row r="1626" spans="1:2" x14ac:dyDescent="0.2">
      <c r="A1626" t="str">
        <f>"BSDC1"</f>
        <v>BSDC1</v>
      </c>
      <c r="B1626" t="s">
        <v>4</v>
      </c>
    </row>
    <row r="1627" spans="1:2" x14ac:dyDescent="0.2">
      <c r="A1627" t="str">
        <f>"BSG"</f>
        <v>BSG</v>
      </c>
      <c r="B1627" t="s">
        <v>3</v>
      </c>
    </row>
    <row r="1628" spans="1:2" x14ac:dyDescent="0.2">
      <c r="A1628" t="str">
        <f>"BSN"</f>
        <v>BSN</v>
      </c>
      <c r="B1628" t="s">
        <v>6</v>
      </c>
    </row>
    <row r="1629" spans="1:2" x14ac:dyDescent="0.2">
      <c r="A1629" t="str">
        <f>"BSND"</f>
        <v>BSND</v>
      </c>
      <c r="B1629" t="s">
        <v>5</v>
      </c>
    </row>
    <row r="1630" spans="1:2" x14ac:dyDescent="0.2">
      <c r="A1630" t="str">
        <f>"BSPH1"</f>
        <v>BSPH1</v>
      </c>
      <c r="B1630" t="s">
        <v>4</v>
      </c>
    </row>
    <row r="1631" spans="1:2" x14ac:dyDescent="0.2">
      <c r="A1631" t="str">
        <f>"BSPRY"</f>
        <v>BSPRY</v>
      </c>
      <c r="B1631" t="s">
        <v>4</v>
      </c>
    </row>
    <row r="1632" spans="1:2" x14ac:dyDescent="0.2">
      <c r="A1632" t="str">
        <f>"BST1"</f>
        <v>BST1</v>
      </c>
      <c r="B1632" t="s">
        <v>7</v>
      </c>
    </row>
    <row r="1633" spans="1:2" x14ac:dyDescent="0.2">
      <c r="A1633" t="str">
        <f>"BST2"</f>
        <v>BST2</v>
      </c>
      <c r="B1633" t="s">
        <v>5</v>
      </c>
    </row>
    <row r="1634" spans="1:2" x14ac:dyDescent="0.2">
      <c r="A1634" t="str">
        <f>"BSX"</f>
        <v>BSX</v>
      </c>
      <c r="B1634" t="s">
        <v>8</v>
      </c>
    </row>
    <row r="1635" spans="1:2" x14ac:dyDescent="0.2">
      <c r="A1635" t="str">
        <f>"BTAF1"</f>
        <v>BTAF1</v>
      </c>
      <c r="B1635" t="s">
        <v>6</v>
      </c>
    </row>
    <row r="1636" spans="1:2" x14ac:dyDescent="0.2">
      <c r="A1636" t="str">
        <f>"BTBD1"</f>
        <v>BTBD1</v>
      </c>
      <c r="B1636" t="s">
        <v>2</v>
      </c>
    </row>
    <row r="1637" spans="1:2" x14ac:dyDescent="0.2">
      <c r="A1637" t="str">
        <f>"BTBD10"</f>
        <v>BTBD10</v>
      </c>
      <c r="B1637" t="s">
        <v>2</v>
      </c>
    </row>
    <row r="1638" spans="1:2" x14ac:dyDescent="0.2">
      <c r="A1638" t="str">
        <f>"BTBD11"</f>
        <v>BTBD11</v>
      </c>
      <c r="B1638" t="s">
        <v>8</v>
      </c>
    </row>
    <row r="1639" spans="1:2" x14ac:dyDescent="0.2">
      <c r="A1639" t="str">
        <f>"BTBD16"</f>
        <v>BTBD16</v>
      </c>
      <c r="B1639" t="s">
        <v>4</v>
      </c>
    </row>
    <row r="1640" spans="1:2" x14ac:dyDescent="0.2">
      <c r="A1640" t="str">
        <f>"BTBD17"</f>
        <v>BTBD17</v>
      </c>
      <c r="B1640" t="s">
        <v>4</v>
      </c>
    </row>
    <row r="1641" spans="1:2" x14ac:dyDescent="0.2">
      <c r="A1641" t="str">
        <f>"BTBD18"</f>
        <v>BTBD18</v>
      </c>
      <c r="B1641" t="s">
        <v>4</v>
      </c>
    </row>
    <row r="1642" spans="1:2" x14ac:dyDescent="0.2">
      <c r="A1642" t="str">
        <f>"BTBD19"</f>
        <v>BTBD19</v>
      </c>
      <c r="B1642" t="s">
        <v>4</v>
      </c>
    </row>
    <row r="1643" spans="1:2" x14ac:dyDescent="0.2">
      <c r="A1643" t="str">
        <f>"BTBD2"</f>
        <v>BTBD2</v>
      </c>
      <c r="B1643" t="s">
        <v>2</v>
      </c>
    </row>
    <row r="1644" spans="1:2" x14ac:dyDescent="0.2">
      <c r="A1644" t="str">
        <f>"BTBD3"</f>
        <v>BTBD3</v>
      </c>
      <c r="B1644" t="s">
        <v>4</v>
      </c>
    </row>
    <row r="1645" spans="1:2" x14ac:dyDescent="0.2">
      <c r="A1645" t="str">
        <f>"BTBD6"</f>
        <v>BTBD6</v>
      </c>
      <c r="B1645" t="s">
        <v>2</v>
      </c>
    </row>
    <row r="1646" spans="1:2" x14ac:dyDescent="0.2">
      <c r="A1646" t="str">
        <f>"BTBD7"</f>
        <v>BTBD7</v>
      </c>
      <c r="B1646" t="s">
        <v>2</v>
      </c>
    </row>
    <row r="1647" spans="1:2" x14ac:dyDescent="0.2">
      <c r="A1647" t="str">
        <f>"BTBD8"</f>
        <v>BTBD8</v>
      </c>
      <c r="B1647" t="s">
        <v>2</v>
      </c>
    </row>
    <row r="1648" spans="1:2" x14ac:dyDescent="0.2">
      <c r="A1648" t="str">
        <f>"BTBD9"</f>
        <v>BTBD9</v>
      </c>
      <c r="B1648" t="s">
        <v>2</v>
      </c>
    </row>
    <row r="1649" spans="1:2" x14ac:dyDescent="0.2">
      <c r="A1649" t="str">
        <f>"BTC"</f>
        <v>BTC</v>
      </c>
      <c r="B1649" t="s">
        <v>2</v>
      </c>
    </row>
    <row r="1650" spans="1:2" x14ac:dyDescent="0.2">
      <c r="A1650" t="str">
        <f>"BTD"</f>
        <v>BTD</v>
      </c>
      <c r="B1650" t="s">
        <v>8</v>
      </c>
    </row>
    <row r="1651" spans="1:2" x14ac:dyDescent="0.2">
      <c r="A1651" t="str">
        <f>"BTF3"</f>
        <v>BTF3</v>
      </c>
      <c r="B1651" t="s">
        <v>6</v>
      </c>
    </row>
    <row r="1652" spans="1:2" x14ac:dyDescent="0.2">
      <c r="A1652" t="str">
        <f>"BTF3L4"</f>
        <v>BTF3L4</v>
      </c>
      <c r="B1652" t="s">
        <v>8</v>
      </c>
    </row>
    <row r="1653" spans="1:2" x14ac:dyDescent="0.2">
      <c r="A1653" t="str">
        <f>"BTG1"</f>
        <v>BTG1</v>
      </c>
      <c r="B1653" t="s">
        <v>3</v>
      </c>
    </row>
    <row r="1654" spans="1:2" x14ac:dyDescent="0.2">
      <c r="A1654" t="str">
        <f>"BTG2"</f>
        <v>BTG2</v>
      </c>
      <c r="B1654" t="s">
        <v>3</v>
      </c>
    </row>
    <row r="1655" spans="1:2" x14ac:dyDescent="0.2">
      <c r="A1655" t="str">
        <f>"BTG3"</f>
        <v>BTG3</v>
      </c>
      <c r="B1655" t="s">
        <v>3</v>
      </c>
    </row>
    <row r="1656" spans="1:2" x14ac:dyDescent="0.2">
      <c r="A1656" t="str">
        <f>"BTG4"</f>
        <v>BTG4</v>
      </c>
      <c r="B1656" t="s">
        <v>3</v>
      </c>
    </row>
    <row r="1657" spans="1:2" x14ac:dyDescent="0.2">
      <c r="A1657" t="str">
        <f>"BTK"</f>
        <v>BTK</v>
      </c>
      <c r="B1657" t="s">
        <v>7</v>
      </c>
    </row>
    <row r="1658" spans="1:2" x14ac:dyDescent="0.2">
      <c r="A1658" t="str">
        <f>"BTLA"</f>
        <v>BTLA</v>
      </c>
      <c r="B1658" t="s">
        <v>2</v>
      </c>
    </row>
    <row r="1659" spans="1:2" x14ac:dyDescent="0.2">
      <c r="A1659" t="str">
        <f>"BTN1A1"</f>
        <v>BTN1A1</v>
      </c>
      <c r="B1659" t="s">
        <v>5</v>
      </c>
    </row>
    <row r="1660" spans="1:2" x14ac:dyDescent="0.2">
      <c r="A1660" t="str">
        <f>"BTN2A1"</f>
        <v>BTN2A1</v>
      </c>
      <c r="B1660" t="s">
        <v>2</v>
      </c>
    </row>
    <row r="1661" spans="1:2" x14ac:dyDescent="0.2">
      <c r="A1661" t="str">
        <f>"BTN2A2"</f>
        <v>BTN2A2</v>
      </c>
      <c r="B1661" t="s">
        <v>5</v>
      </c>
    </row>
    <row r="1662" spans="1:2" x14ac:dyDescent="0.2">
      <c r="A1662" t="str">
        <f>"BTN3A1"</f>
        <v>BTN3A1</v>
      </c>
      <c r="B1662" t="s">
        <v>2</v>
      </c>
    </row>
    <row r="1663" spans="1:2" x14ac:dyDescent="0.2">
      <c r="A1663" t="str">
        <f>"BTN3A2"</f>
        <v>BTN3A2</v>
      </c>
      <c r="B1663" t="s">
        <v>5</v>
      </c>
    </row>
    <row r="1664" spans="1:2" x14ac:dyDescent="0.2">
      <c r="A1664" t="str">
        <f>"BTN3A3"</f>
        <v>BTN3A3</v>
      </c>
      <c r="B1664" t="s">
        <v>5</v>
      </c>
    </row>
    <row r="1665" spans="1:2" x14ac:dyDescent="0.2">
      <c r="A1665" t="str">
        <f>"BTNL2"</f>
        <v>BTNL2</v>
      </c>
      <c r="B1665" t="s">
        <v>5</v>
      </c>
    </row>
    <row r="1666" spans="1:2" x14ac:dyDescent="0.2">
      <c r="A1666" t="str">
        <f>"BTNL3"</f>
        <v>BTNL3</v>
      </c>
      <c r="B1666" t="s">
        <v>2</v>
      </c>
    </row>
    <row r="1667" spans="1:2" x14ac:dyDescent="0.2">
      <c r="A1667" t="str">
        <f>"BTNL8"</f>
        <v>BTNL8</v>
      </c>
      <c r="B1667" t="s">
        <v>5</v>
      </c>
    </row>
    <row r="1668" spans="1:2" x14ac:dyDescent="0.2">
      <c r="A1668" t="str">
        <f>"BTNL9"</f>
        <v>BTNL9</v>
      </c>
      <c r="B1668" t="s">
        <v>5</v>
      </c>
    </row>
    <row r="1669" spans="1:2" x14ac:dyDescent="0.2">
      <c r="A1669" t="str">
        <f>"BTRC"</f>
        <v>BTRC</v>
      </c>
      <c r="B1669" t="s">
        <v>2</v>
      </c>
    </row>
    <row r="1670" spans="1:2" x14ac:dyDescent="0.2">
      <c r="A1670" t="str">
        <f>"BUB1"</f>
        <v>BUB1</v>
      </c>
      <c r="B1670" t="s">
        <v>7</v>
      </c>
    </row>
    <row r="1671" spans="1:2" x14ac:dyDescent="0.2">
      <c r="A1671" t="str">
        <f>"BUB1B"</f>
        <v>BUB1B</v>
      </c>
      <c r="B1671" t="s">
        <v>7</v>
      </c>
    </row>
    <row r="1672" spans="1:2" x14ac:dyDescent="0.2">
      <c r="A1672" t="str">
        <f>"BUB3"</f>
        <v>BUB3</v>
      </c>
      <c r="B1672" t="s">
        <v>3</v>
      </c>
    </row>
    <row r="1673" spans="1:2" x14ac:dyDescent="0.2">
      <c r="A1673" t="str">
        <f>"BUD13"</f>
        <v>BUD13</v>
      </c>
      <c r="B1673" t="s">
        <v>4</v>
      </c>
    </row>
    <row r="1674" spans="1:2" x14ac:dyDescent="0.2">
      <c r="A1674" t="str">
        <f>"BUD31"</f>
        <v>BUD31</v>
      </c>
      <c r="B1674" t="s">
        <v>8</v>
      </c>
    </row>
    <row r="1675" spans="1:2" x14ac:dyDescent="0.2">
      <c r="A1675" t="str">
        <f>"BVES"</f>
        <v>BVES</v>
      </c>
      <c r="B1675" t="s">
        <v>6</v>
      </c>
    </row>
    <row r="1676" spans="1:2" x14ac:dyDescent="0.2">
      <c r="A1676" t="str">
        <f>"BYSL"</f>
        <v>BYSL</v>
      </c>
      <c r="B1676" t="s">
        <v>8</v>
      </c>
    </row>
    <row r="1677" spans="1:2" x14ac:dyDescent="0.2">
      <c r="A1677" t="str">
        <f>"BZRAP1"</f>
        <v>BZRAP1</v>
      </c>
      <c r="B1677" t="s">
        <v>6</v>
      </c>
    </row>
    <row r="1678" spans="1:2" x14ac:dyDescent="0.2">
      <c r="A1678" t="str">
        <f>"BZW1"</f>
        <v>BZW1</v>
      </c>
      <c r="B1678" t="s">
        <v>4</v>
      </c>
    </row>
    <row r="1679" spans="1:2" x14ac:dyDescent="0.2">
      <c r="A1679" t="str">
        <f>"BZW2"</f>
        <v>BZW2</v>
      </c>
      <c r="B1679" t="s">
        <v>8</v>
      </c>
    </row>
    <row r="1680" spans="1:2" x14ac:dyDescent="0.2">
      <c r="A1680" t="str">
        <f>"C10orf10"</f>
        <v>C10orf10</v>
      </c>
      <c r="B1680" t="s">
        <v>6</v>
      </c>
    </row>
    <row r="1681" spans="1:2" x14ac:dyDescent="0.2">
      <c r="A1681" t="str">
        <f>"C10orf105"</f>
        <v>C10orf105</v>
      </c>
      <c r="B1681" t="s">
        <v>4</v>
      </c>
    </row>
    <row r="1682" spans="1:2" x14ac:dyDescent="0.2">
      <c r="A1682" t="str">
        <f>"C10orf107"</f>
        <v>C10orf107</v>
      </c>
      <c r="B1682" t="s">
        <v>4</v>
      </c>
    </row>
    <row r="1683" spans="1:2" x14ac:dyDescent="0.2">
      <c r="A1683" t="str">
        <f>"C10orf11"</f>
        <v>C10orf11</v>
      </c>
      <c r="B1683" t="s">
        <v>4</v>
      </c>
    </row>
    <row r="1684" spans="1:2" x14ac:dyDescent="0.2">
      <c r="A1684" t="str">
        <f>"C10orf111"</f>
        <v>C10orf111</v>
      </c>
      <c r="B1684" t="s">
        <v>2</v>
      </c>
    </row>
    <row r="1685" spans="1:2" x14ac:dyDescent="0.2">
      <c r="A1685" t="str">
        <f>"C10orf112"</f>
        <v>C10orf112</v>
      </c>
      <c r="B1685" t="s">
        <v>4</v>
      </c>
    </row>
    <row r="1686" spans="1:2" x14ac:dyDescent="0.2">
      <c r="A1686" t="str">
        <f>"C10orf113"</f>
        <v>C10orf113</v>
      </c>
      <c r="B1686" t="s">
        <v>6</v>
      </c>
    </row>
    <row r="1687" spans="1:2" x14ac:dyDescent="0.2">
      <c r="A1687" t="str">
        <f>"C10orf118"</f>
        <v>C10orf118</v>
      </c>
      <c r="B1687" t="s">
        <v>4</v>
      </c>
    </row>
    <row r="1688" spans="1:2" x14ac:dyDescent="0.2">
      <c r="A1688" t="str">
        <f>"C10orf12"</f>
        <v>C10orf12</v>
      </c>
      <c r="B1688" t="s">
        <v>4</v>
      </c>
    </row>
    <row r="1689" spans="1:2" x14ac:dyDescent="0.2">
      <c r="A1689" t="str">
        <f>"C10orf120"</f>
        <v>C10orf120</v>
      </c>
      <c r="B1689" t="s">
        <v>4</v>
      </c>
    </row>
    <row r="1690" spans="1:2" x14ac:dyDescent="0.2">
      <c r="A1690" t="str">
        <f>"C10orf126"</f>
        <v>C10orf126</v>
      </c>
      <c r="B1690" t="s">
        <v>4</v>
      </c>
    </row>
    <row r="1691" spans="1:2" x14ac:dyDescent="0.2">
      <c r="A1691" t="str">
        <f>"C10orf128"</f>
        <v>C10orf128</v>
      </c>
      <c r="B1691" t="s">
        <v>5</v>
      </c>
    </row>
    <row r="1692" spans="1:2" x14ac:dyDescent="0.2">
      <c r="A1692" t="str">
        <f>"C10orf129"</f>
        <v>C10orf129</v>
      </c>
      <c r="B1692" t="s">
        <v>4</v>
      </c>
    </row>
    <row r="1693" spans="1:2" x14ac:dyDescent="0.2">
      <c r="A1693" t="str">
        <f>"C10orf131"</f>
        <v>C10orf131</v>
      </c>
      <c r="B1693" t="s">
        <v>4</v>
      </c>
    </row>
    <row r="1694" spans="1:2" x14ac:dyDescent="0.2">
      <c r="A1694" t="str">
        <f>"C10orf137"</f>
        <v>C10orf137</v>
      </c>
      <c r="B1694" t="s">
        <v>3</v>
      </c>
    </row>
    <row r="1695" spans="1:2" x14ac:dyDescent="0.2">
      <c r="A1695" t="str">
        <f>"C10orf2"</f>
        <v>C10orf2</v>
      </c>
      <c r="B1695" t="s">
        <v>6</v>
      </c>
    </row>
    <row r="1696" spans="1:2" x14ac:dyDescent="0.2">
      <c r="A1696" t="str">
        <f>"C10orf25"</f>
        <v>C10orf25</v>
      </c>
      <c r="B1696" t="s">
        <v>4</v>
      </c>
    </row>
    <row r="1697" spans="1:2" x14ac:dyDescent="0.2">
      <c r="A1697" t="str">
        <f>"C10orf32"</f>
        <v>C10orf32</v>
      </c>
      <c r="B1697" t="s">
        <v>2</v>
      </c>
    </row>
    <row r="1698" spans="1:2" x14ac:dyDescent="0.2">
      <c r="A1698" t="str">
        <f>"C10orf35"</f>
        <v>C10orf35</v>
      </c>
      <c r="B1698" t="s">
        <v>6</v>
      </c>
    </row>
    <row r="1699" spans="1:2" x14ac:dyDescent="0.2">
      <c r="A1699" t="str">
        <f>"C10orf53"</f>
        <v>C10orf53</v>
      </c>
      <c r="B1699" t="s">
        <v>6</v>
      </c>
    </row>
    <row r="1700" spans="1:2" x14ac:dyDescent="0.2">
      <c r="A1700" t="str">
        <f>"C10orf54"</f>
        <v>C10orf54</v>
      </c>
      <c r="B1700" t="s">
        <v>5</v>
      </c>
    </row>
    <row r="1701" spans="1:2" x14ac:dyDescent="0.2">
      <c r="A1701" t="str">
        <f>"C10orf55"</f>
        <v>C10orf55</v>
      </c>
      <c r="B1701" t="s">
        <v>4</v>
      </c>
    </row>
    <row r="1702" spans="1:2" x14ac:dyDescent="0.2">
      <c r="A1702" t="str">
        <f>"C10orf62"</f>
        <v>C10orf62</v>
      </c>
      <c r="B1702" t="s">
        <v>4</v>
      </c>
    </row>
    <row r="1703" spans="1:2" x14ac:dyDescent="0.2">
      <c r="A1703" t="str">
        <f>"C10orf67"</f>
        <v>C10orf67</v>
      </c>
      <c r="B1703" t="s">
        <v>4</v>
      </c>
    </row>
    <row r="1704" spans="1:2" x14ac:dyDescent="0.2">
      <c r="A1704" t="str">
        <f>"C10orf71"</f>
        <v>C10orf71</v>
      </c>
      <c r="B1704" t="s">
        <v>4</v>
      </c>
    </row>
    <row r="1705" spans="1:2" x14ac:dyDescent="0.2">
      <c r="A1705" t="str">
        <f>"C10orf76"</f>
        <v>C10orf76</v>
      </c>
      <c r="B1705" t="s">
        <v>5</v>
      </c>
    </row>
    <row r="1706" spans="1:2" x14ac:dyDescent="0.2">
      <c r="A1706" t="str">
        <f>"C10orf82"</f>
        <v>C10orf82</v>
      </c>
      <c r="B1706" t="s">
        <v>4</v>
      </c>
    </row>
    <row r="1707" spans="1:2" x14ac:dyDescent="0.2">
      <c r="A1707" t="str">
        <f>"C10orf88"</f>
        <v>C10orf88</v>
      </c>
      <c r="B1707" t="s">
        <v>4</v>
      </c>
    </row>
    <row r="1708" spans="1:2" x14ac:dyDescent="0.2">
      <c r="A1708" t="str">
        <f>"C10orf90"</f>
        <v>C10orf90</v>
      </c>
      <c r="B1708" t="s">
        <v>3</v>
      </c>
    </row>
    <row r="1709" spans="1:2" x14ac:dyDescent="0.2">
      <c r="A1709" t="str">
        <f>"C10orf91"</f>
        <v>C10orf91</v>
      </c>
      <c r="B1709" t="s">
        <v>4</v>
      </c>
    </row>
    <row r="1710" spans="1:2" x14ac:dyDescent="0.2">
      <c r="A1710" t="str">
        <f>"C10orf95"</f>
        <v>C10orf95</v>
      </c>
      <c r="B1710" t="s">
        <v>4</v>
      </c>
    </row>
    <row r="1711" spans="1:2" x14ac:dyDescent="0.2">
      <c r="A1711" t="str">
        <f>"C10orf99"</f>
        <v>C10orf99</v>
      </c>
      <c r="B1711" t="s">
        <v>4</v>
      </c>
    </row>
    <row r="1712" spans="1:2" x14ac:dyDescent="0.2">
      <c r="A1712" t="str">
        <f>"C11orf1"</f>
        <v>C11orf1</v>
      </c>
      <c r="B1712" t="s">
        <v>4</v>
      </c>
    </row>
    <row r="1713" spans="1:2" x14ac:dyDescent="0.2">
      <c r="A1713" t="str">
        <f>"C11orf16"</f>
        <v>C11orf16</v>
      </c>
      <c r="B1713" t="s">
        <v>4</v>
      </c>
    </row>
    <row r="1714" spans="1:2" x14ac:dyDescent="0.2">
      <c r="A1714" t="str">
        <f>"C11orf21"</f>
        <v>C11orf21</v>
      </c>
      <c r="B1714" t="s">
        <v>4</v>
      </c>
    </row>
    <row r="1715" spans="1:2" x14ac:dyDescent="0.2">
      <c r="A1715" t="str">
        <f>"C11orf24"</f>
        <v>C11orf24</v>
      </c>
      <c r="B1715" t="s">
        <v>5</v>
      </c>
    </row>
    <row r="1716" spans="1:2" x14ac:dyDescent="0.2">
      <c r="A1716" t="str">
        <f>"C11orf30"</f>
        <v>C11orf30</v>
      </c>
      <c r="B1716" t="s">
        <v>3</v>
      </c>
    </row>
    <row r="1717" spans="1:2" x14ac:dyDescent="0.2">
      <c r="A1717" t="str">
        <f>"C11orf31"</f>
        <v>C11orf31</v>
      </c>
      <c r="B1717" t="s">
        <v>4</v>
      </c>
    </row>
    <row r="1718" spans="1:2" x14ac:dyDescent="0.2">
      <c r="A1718" t="str">
        <f>"C11orf34"</f>
        <v>C11orf34</v>
      </c>
      <c r="B1718" t="s">
        <v>4</v>
      </c>
    </row>
    <row r="1719" spans="1:2" x14ac:dyDescent="0.2">
      <c r="A1719" t="str">
        <f>"C11orf35"</f>
        <v>C11orf35</v>
      </c>
      <c r="B1719" t="s">
        <v>4</v>
      </c>
    </row>
    <row r="1720" spans="1:2" x14ac:dyDescent="0.2">
      <c r="A1720" t="str">
        <f>"C11orf40"</f>
        <v>C11orf40</v>
      </c>
      <c r="B1720" t="s">
        <v>4</v>
      </c>
    </row>
    <row r="1721" spans="1:2" x14ac:dyDescent="0.2">
      <c r="A1721" t="str">
        <f>"C11orf42"</f>
        <v>C11orf42</v>
      </c>
      <c r="B1721" t="s">
        <v>4</v>
      </c>
    </row>
    <row r="1722" spans="1:2" x14ac:dyDescent="0.2">
      <c r="A1722" t="str">
        <f>"C11orf44"</f>
        <v>C11orf44</v>
      </c>
      <c r="B1722" t="s">
        <v>4</v>
      </c>
    </row>
    <row r="1723" spans="1:2" x14ac:dyDescent="0.2">
      <c r="A1723" t="str">
        <f>"C11orf45"</f>
        <v>C11orf45</v>
      </c>
      <c r="B1723" t="s">
        <v>4</v>
      </c>
    </row>
    <row r="1724" spans="1:2" x14ac:dyDescent="0.2">
      <c r="A1724" t="str">
        <f>"C11orf48"</f>
        <v>C11orf48</v>
      </c>
      <c r="B1724" t="s">
        <v>4</v>
      </c>
    </row>
    <row r="1725" spans="1:2" x14ac:dyDescent="0.2">
      <c r="A1725" t="str">
        <f>"C11orf49"</f>
        <v>C11orf49</v>
      </c>
      <c r="B1725" t="s">
        <v>4</v>
      </c>
    </row>
    <row r="1726" spans="1:2" x14ac:dyDescent="0.2">
      <c r="A1726" t="str">
        <f>"C11orf52"</f>
        <v>C11orf52</v>
      </c>
      <c r="B1726" t="s">
        <v>4</v>
      </c>
    </row>
    <row r="1727" spans="1:2" x14ac:dyDescent="0.2">
      <c r="A1727" t="str">
        <f>"C11orf53"</f>
        <v>C11orf53</v>
      </c>
      <c r="B1727" t="s">
        <v>4</v>
      </c>
    </row>
    <row r="1728" spans="1:2" x14ac:dyDescent="0.2">
      <c r="A1728" t="str">
        <f>"C11orf54"</f>
        <v>C11orf54</v>
      </c>
      <c r="B1728" t="s">
        <v>2</v>
      </c>
    </row>
    <row r="1729" spans="1:2" x14ac:dyDescent="0.2">
      <c r="A1729" t="str">
        <f>"C11orf57"</f>
        <v>C11orf57</v>
      </c>
      <c r="B1729" t="s">
        <v>4</v>
      </c>
    </row>
    <row r="1730" spans="1:2" x14ac:dyDescent="0.2">
      <c r="A1730" t="str">
        <f>"C11orf58"</f>
        <v>C11orf58</v>
      </c>
      <c r="B1730" t="s">
        <v>4</v>
      </c>
    </row>
    <row r="1731" spans="1:2" x14ac:dyDescent="0.2">
      <c r="A1731" t="str">
        <f>"C11orf63"</f>
        <v>C11orf63</v>
      </c>
      <c r="B1731" t="s">
        <v>4</v>
      </c>
    </row>
    <row r="1732" spans="1:2" x14ac:dyDescent="0.2">
      <c r="A1732" t="str">
        <f>"C11orf65"</f>
        <v>C11orf65</v>
      </c>
      <c r="B1732" t="s">
        <v>4</v>
      </c>
    </row>
    <row r="1733" spans="1:2" x14ac:dyDescent="0.2">
      <c r="A1733" t="str">
        <f>"C11orf68"</f>
        <v>C11orf68</v>
      </c>
      <c r="B1733" t="s">
        <v>4</v>
      </c>
    </row>
    <row r="1734" spans="1:2" x14ac:dyDescent="0.2">
      <c r="A1734" t="str">
        <f>"C11orf70"</f>
        <v>C11orf70</v>
      </c>
      <c r="B1734" t="s">
        <v>4</v>
      </c>
    </row>
    <row r="1735" spans="1:2" x14ac:dyDescent="0.2">
      <c r="A1735" t="str">
        <f>"C11orf71"</f>
        <v>C11orf71</v>
      </c>
      <c r="B1735" t="s">
        <v>2</v>
      </c>
    </row>
    <row r="1736" spans="1:2" x14ac:dyDescent="0.2">
      <c r="A1736" t="str">
        <f>"C11orf73"</f>
        <v>C11orf73</v>
      </c>
      <c r="B1736" t="s">
        <v>6</v>
      </c>
    </row>
    <row r="1737" spans="1:2" x14ac:dyDescent="0.2">
      <c r="A1737" t="str">
        <f>"C11orf74"</f>
        <v>C11orf74</v>
      </c>
      <c r="B1737" t="s">
        <v>4</v>
      </c>
    </row>
    <row r="1738" spans="1:2" x14ac:dyDescent="0.2">
      <c r="A1738" t="str">
        <f>"C11orf80"</f>
        <v>C11orf80</v>
      </c>
      <c r="B1738" t="s">
        <v>4</v>
      </c>
    </row>
    <row r="1739" spans="1:2" x14ac:dyDescent="0.2">
      <c r="A1739" t="str">
        <f>"C11orf82"</f>
        <v>C11orf82</v>
      </c>
      <c r="B1739" t="s">
        <v>3</v>
      </c>
    </row>
    <row r="1740" spans="1:2" x14ac:dyDescent="0.2">
      <c r="A1740" t="str">
        <f>"C11orf83"</f>
        <v>C11orf83</v>
      </c>
      <c r="B1740" t="s">
        <v>5</v>
      </c>
    </row>
    <row r="1741" spans="1:2" x14ac:dyDescent="0.2">
      <c r="A1741" t="str">
        <f>"C11orf84"</f>
        <v>C11orf84</v>
      </c>
      <c r="B1741" t="s">
        <v>4</v>
      </c>
    </row>
    <row r="1742" spans="1:2" x14ac:dyDescent="0.2">
      <c r="A1742" t="str">
        <f>"C11orf85"</f>
        <v>C11orf85</v>
      </c>
      <c r="B1742" t="s">
        <v>4</v>
      </c>
    </row>
    <row r="1743" spans="1:2" x14ac:dyDescent="0.2">
      <c r="A1743" t="str">
        <f>"C11orf86"</f>
        <v>C11orf86</v>
      </c>
      <c r="B1743" t="s">
        <v>4</v>
      </c>
    </row>
    <row r="1744" spans="1:2" x14ac:dyDescent="0.2">
      <c r="A1744" t="str">
        <f>"C11orf87"</f>
        <v>C11orf87</v>
      </c>
      <c r="B1744" t="s">
        <v>5</v>
      </c>
    </row>
    <row r="1745" spans="1:2" x14ac:dyDescent="0.2">
      <c r="A1745" t="str">
        <f>"C11orf88"</f>
        <v>C11orf88</v>
      </c>
      <c r="B1745" t="s">
        <v>4</v>
      </c>
    </row>
    <row r="1746" spans="1:2" x14ac:dyDescent="0.2">
      <c r="A1746" t="str">
        <f>"C11orf91"</f>
        <v>C11orf91</v>
      </c>
      <c r="B1746" t="s">
        <v>4</v>
      </c>
    </row>
    <row r="1747" spans="1:2" x14ac:dyDescent="0.2">
      <c r="A1747" t="str">
        <f>"C11orf94"</f>
        <v>C11orf94</v>
      </c>
      <c r="B1747" t="s">
        <v>4</v>
      </c>
    </row>
    <row r="1748" spans="1:2" x14ac:dyDescent="0.2">
      <c r="A1748" t="str">
        <f>"C11orf95"</f>
        <v>C11orf95</v>
      </c>
      <c r="B1748" t="s">
        <v>4</v>
      </c>
    </row>
    <row r="1749" spans="1:2" x14ac:dyDescent="0.2">
      <c r="A1749" t="str">
        <f>"C11orf96"</f>
        <v>C11orf96</v>
      </c>
      <c r="B1749" t="s">
        <v>4</v>
      </c>
    </row>
    <row r="1750" spans="1:2" x14ac:dyDescent="0.2">
      <c r="A1750" t="str">
        <f>"C12orf10"</f>
        <v>C12orf10</v>
      </c>
      <c r="B1750" t="s">
        <v>6</v>
      </c>
    </row>
    <row r="1751" spans="1:2" x14ac:dyDescent="0.2">
      <c r="A1751" t="str">
        <f>"C12orf23"</f>
        <v>C12orf23</v>
      </c>
      <c r="B1751" t="s">
        <v>4</v>
      </c>
    </row>
    <row r="1752" spans="1:2" x14ac:dyDescent="0.2">
      <c r="A1752" t="str">
        <f>"C12orf29"</f>
        <v>C12orf29</v>
      </c>
      <c r="B1752" t="s">
        <v>4</v>
      </c>
    </row>
    <row r="1753" spans="1:2" x14ac:dyDescent="0.2">
      <c r="A1753" t="str">
        <f>"C12orf39"</f>
        <v>C12orf39</v>
      </c>
      <c r="B1753" t="s">
        <v>4</v>
      </c>
    </row>
    <row r="1754" spans="1:2" x14ac:dyDescent="0.2">
      <c r="A1754" t="str">
        <f>"C12orf4"</f>
        <v>C12orf4</v>
      </c>
      <c r="B1754" t="s">
        <v>2</v>
      </c>
    </row>
    <row r="1755" spans="1:2" x14ac:dyDescent="0.2">
      <c r="A1755" t="str">
        <f>"C12orf40"</f>
        <v>C12orf40</v>
      </c>
      <c r="B1755" t="s">
        <v>5</v>
      </c>
    </row>
    <row r="1756" spans="1:2" x14ac:dyDescent="0.2">
      <c r="A1756" t="str">
        <f>"C12orf42"</f>
        <v>C12orf42</v>
      </c>
      <c r="B1756" t="s">
        <v>4</v>
      </c>
    </row>
    <row r="1757" spans="1:2" x14ac:dyDescent="0.2">
      <c r="A1757" t="str">
        <f>"C12orf43"</f>
        <v>C12orf43</v>
      </c>
      <c r="B1757" t="s">
        <v>4</v>
      </c>
    </row>
    <row r="1758" spans="1:2" x14ac:dyDescent="0.2">
      <c r="A1758" t="str">
        <f>"C12orf44"</f>
        <v>C12orf44</v>
      </c>
      <c r="B1758" t="s">
        <v>4</v>
      </c>
    </row>
    <row r="1759" spans="1:2" x14ac:dyDescent="0.2">
      <c r="A1759" t="str">
        <f>"C12orf45"</f>
        <v>C12orf45</v>
      </c>
      <c r="B1759" t="s">
        <v>4</v>
      </c>
    </row>
    <row r="1760" spans="1:2" x14ac:dyDescent="0.2">
      <c r="A1760" t="str">
        <f>"C12orf49"</f>
        <v>C12orf49</v>
      </c>
      <c r="B1760" t="s">
        <v>6</v>
      </c>
    </row>
    <row r="1761" spans="1:2" x14ac:dyDescent="0.2">
      <c r="A1761" t="str">
        <f>"C12orf5"</f>
        <v>C12orf5</v>
      </c>
      <c r="B1761" t="s">
        <v>4</v>
      </c>
    </row>
    <row r="1762" spans="1:2" x14ac:dyDescent="0.2">
      <c r="A1762" t="str">
        <f>"C12orf50"</f>
        <v>C12orf50</v>
      </c>
      <c r="B1762" t="s">
        <v>4</v>
      </c>
    </row>
    <row r="1763" spans="1:2" x14ac:dyDescent="0.2">
      <c r="A1763" t="str">
        <f>"C12orf52"</f>
        <v>C12orf52</v>
      </c>
      <c r="B1763" t="s">
        <v>4</v>
      </c>
    </row>
    <row r="1764" spans="1:2" x14ac:dyDescent="0.2">
      <c r="A1764" t="str">
        <f>"C12orf54"</f>
        <v>C12orf54</v>
      </c>
      <c r="B1764" t="s">
        <v>4</v>
      </c>
    </row>
    <row r="1765" spans="1:2" x14ac:dyDescent="0.2">
      <c r="A1765" t="str">
        <f>"C12orf55"</f>
        <v>C12orf55</v>
      </c>
      <c r="B1765" t="s">
        <v>4</v>
      </c>
    </row>
    <row r="1766" spans="1:2" x14ac:dyDescent="0.2">
      <c r="A1766" t="str">
        <f>"C12orf56"</f>
        <v>C12orf56</v>
      </c>
      <c r="B1766" t="s">
        <v>4</v>
      </c>
    </row>
    <row r="1767" spans="1:2" x14ac:dyDescent="0.2">
      <c r="A1767" t="str">
        <f>"C12orf57"</f>
        <v>C12orf57</v>
      </c>
      <c r="B1767" t="s">
        <v>4</v>
      </c>
    </row>
    <row r="1768" spans="1:2" x14ac:dyDescent="0.2">
      <c r="A1768" t="str">
        <f>"C12orf60"</f>
        <v>C12orf60</v>
      </c>
      <c r="B1768" t="s">
        <v>4</v>
      </c>
    </row>
    <row r="1769" spans="1:2" x14ac:dyDescent="0.2">
      <c r="A1769" t="str">
        <f>"C12orf61"</f>
        <v>C12orf61</v>
      </c>
      <c r="B1769" t="s">
        <v>4</v>
      </c>
    </row>
    <row r="1770" spans="1:2" x14ac:dyDescent="0.2">
      <c r="A1770" t="str">
        <f>"C12orf65"</f>
        <v>C12orf65</v>
      </c>
      <c r="B1770" t="s">
        <v>6</v>
      </c>
    </row>
    <row r="1771" spans="1:2" x14ac:dyDescent="0.2">
      <c r="A1771" t="str">
        <f>"C12orf66"</f>
        <v>C12orf66</v>
      </c>
      <c r="B1771" t="s">
        <v>4</v>
      </c>
    </row>
    <row r="1772" spans="1:2" x14ac:dyDescent="0.2">
      <c r="A1772" t="str">
        <f>"C12orf68"</f>
        <v>C12orf68</v>
      </c>
      <c r="B1772" t="s">
        <v>4</v>
      </c>
    </row>
    <row r="1773" spans="1:2" x14ac:dyDescent="0.2">
      <c r="A1773" t="str">
        <f>"C12orf71"</f>
        <v>C12orf71</v>
      </c>
      <c r="B1773" t="s">
        <v>4</v>
      </c>
    </row>
    <row r="1774" spans="1:2" x14ac:dyDescent="0.2">
      <c r="A1774" t="str">
        <f>"C12orf73"</f>
        <v>C12orf73</v>
      </c>
      <c r="B1774" t="s">
        <v>4</v>
      </c>
    </row>
    <row r="1775" spans="1:2" x14ac:dyDescent="0.2">
      <c r="A1775" t="str">
        <f>"C12orf74"</f>
        <v>C12orf74</v>
      </c>
      <c r="B1775" t="s">
        <v>4</v>
      </c>
    </row>
    <row r="1776" spans="1:2" x14ac:dyDescent="0.2">
      <c r="A1776" t="str">
        <f>"C12orf75"</f>
        <v>C12orf75</v>
      </c>
      <c r="B1776" t="s">
        <v>4</v>
      </c>
    </row>
    <row r="1777" spans="1:2" x14ac:dyDescent="0.2">
      <c r="A1777" t="str">
        <f>"C12orf76"</f>
        <v>C12orf76</v>
      </c>
      <c r="B1777" t="s">
        <v>5</v>
      </c>
    </row>
    <row r="1778" spans="1:2" x14ac:dyDescent="0.2">
      <c r="A1778" t="str">
        <f>"C12orf77"</f>
        <v>C12orf77</v>
      </c>
      <c r="B1778" t="s">
        <v>4</v>
      </c>
    </row>
    <row r="1779" spans="1:2" x14ac:dyDescent="0.2">
      <c r="A1779" t="str">
        <f>"C12orf79"</f>
        <v>C12orf79</v>
      </c>
      <c r="B1779" t="s">
        <v>4</v>
      </c>
    </row>
    <row r="1780" spans="1:2" x14ac:dyDescent="0.2">
      <c r="A1780" t="str">
        <f>"C12orf80"</f>
        <v>C12orf80</v>
      </c>
      <c r="B1780" t="s">
        <v>4</v>
      </c>
    </row>
    <row r="1781" spans="1:2" x14ac:dyDescent="0.2">
      <c r="A1781" t="str">
        <f>"C13orf35"</f>
        <v>C13orf35</v>
      </c>
      <c r="B1781" t="s">
        <v>4</v>
      </c>
    </row>
    <row r="1782" spans="1:2" x14ac:dyDescent="0.2">
      <c r="A1782" t="str">
        <f>"C13orf45"</f>
        <v>C13orf45</v>
      </c>
      <c r="B1782" t="s">
        <v>4</v>
      </c>
    </row>
    <row r="1783" spans="1:2" x14ac:dyDescent="0.2">
      <c r="A1783" t="str">
        <f>"C14orf1"</f>
        <v>C14orf1</v>
      </c>
      <c r="B1783" t="s">
        <v>2</v>
      </c>
    </row>
    <row r="1784" spans="1:2" x14ac:dyDescent="0.2">
      <c r="A1784" t="str">
        <f>"C14orf105"</f>
        <v>C14orf105</v>
      </c>
      <c r="B1784" t="s">
        <v>4</v>
      </c>
    </row>
    <row r="1785" spans="1:2" x14ac:dyDescent="0.2">
      <c r="A1785" t="str">
        <f>"C14orf119"</f>
        <v>C14orf119</v>
      </c>
      <c r="B1785" t="s">
        <v>6</v>
      </c>
    </row>
    <row r="1786" spans="1:2" x14ac:dyDescent="0.2">
      <c r="A1786" t="str">
        <f>"C14orf132"</f>
        <v>C14orf132</v>
      </c>
      <c r="B1786" t="s">
        <v>5</v>
      </c>
    </row>
    <row r="1787" spans="1:2" x14ac:dyDescent="0.2">
      <c r="A1787" t="str">
        <f>"C14orf142"</f>
        <v>C14orf142</v>
      </c>
      <c r="B1787" t="s">
        <v>4</v>
      </c>
    </row>
    <row r="1788" spans="1:2" x14ac:dyDescent="0.2">
      <c r="A1788" t="str">
        <f>"C14orf159"</f>
        <v>C14orf159</v>
      </c>
      <c r="B1788" t="s">
        <v>6</v>
      </c>
    </row>
    <row r="1789" spans="1:2" x14ac:dyDescent="0.2">
      <c r="A1789" t="str">
        <f>"C14orf164"</f>
        <v>C14orf164</v>
      </c>
      <c r="B1789" t="s">
        <v>4</v>
      </c>
    </row>
    <row r="1790" spans="1:2" x14ac:dyDescent="0.2">
      <c r="A1790" t="str">
        <f>"C14orf166"</f>
        <v>C14orf166</v>
      </c>
      <c r="B1790" t="s">
        <v>6</v>
      </c>
    </row>
    <row r="1791" spans="1:2" x14ac:dyDescent="0.2">
      <c r="A1791" t="str">
        <f>"C14orf166B"</f>
        <v>C14orf166B</v>
      </c>
      <c r="B1791" t="s">
        <v>4</v>
      </c>
    </row>
    <row r="1792" spans="1:2" x14ac:dyDescent="0.2">
      <c r="A1792" t="str">
        <f>"C14orf169"</f>
        <v>C14orf169</v>
      </c>
      <c r="B1792" t="s">
        <v>3</v>
      </c>
    </row>
    <row r="1793" spans="1:2" x14ac:dyDescent="0.2">
      <c r="A1793" t="str">
        <f>"C14orf177"</f>
        <v>C14orf177</v>
      </c>
      <c r="B1793" t="s">
        <v>4</v>
      </c>
    </row>
    <row r="1794" spans="1:2" x14ac:dyDescent="0.2">
      <c r="A1794" t="str">
        <f>"C14orf178"</f>
        <v>C14orf178</v>
      </c>
      <c r="B1794" t="s">
        <v>3</v>
      </c>
    </row>
    <row r="1795" spans="1:2" x14ac:dyDescent="0.2">
      <c r="A1795" t="str">
        <f>"C14orf180"</f>
        <v>C14orf180</v>
      </c>
      <c r="B1795" t="s">
        <v>5</v>
      </c>
    </row>
    <row r="1796" spans="1:2" x14ac:dyDescent="0.2">
      <c r="A1796" t="str">
        <f>"C14orf182"</f>
        <v>C14orf182</v>
      </c>
      <c r="B1796" t="s">
        <v>4</v>
      </c>
    </row>
    <row r="1797" spans="1:2" x14ac:dyDescent="0.2">
      <c r="A1797" t="str">
        <f>"C14orf183"</f>
        <v>C14orf183</v>
      </c>
      <c r="B1797" t="s">
        <v>4</v>
      </c>
    </row>
    <row r="1798" spans="1:2" x14ac:dyDescent="0.2">
      <c r="A1798" t="str">
        <f>"C14orf2"</f>
        <v>C14orf2</v>
      </c>
      <c r="B1798" t="s">
        <v>6</v>
      </c>
    </row>
    <row r="1799" spans="1:2" x14ac:dyDescent="0.2">
      <c r="A1799" t="str">
        <f>"C14orf28"</f>
        <v>C14orf28</v>
      </c>
      <c r="B1799" t="s">
        <v>4</v>
      </c>
    </row>
    <row r="1800" spans="1:2" x14ac:dyDescent="0.2">
      <c r="A1800" t="str">
        <f>"C14orf37"</f>
        <v>C14orf37</v>
      </c>
      <c r="B1800" t="s">
        <v>5</v>
      </c>
    </row>
    <row r="1801" spans="1:2" x14ac:dyDescent="0.2">
      <c r="A1801" t="str">
        <f>"C14orf39"</f>
        <v>C14orf39</v>
      </c>
      <c r="B1801" t="s">
        <v>8</v>
      </c>
    </row>
    <row r="1802" spans="1:2" x14ac:dyDescent="0.2">
      <c r="A1802" t="str">
        <f>"C14orf79"</f>
        <v>C14orf79</v>
      </c>
      <c r="B1802" t="s">
        <v>4</v>
      </c>
    </row>
    <row r="1803" spans="1:2" x14ac:dyDescent="0.2">
      <c r="A1803" t="str">
        <f>"C14orf80"</f>
        <v>C14orf80</v>
      </c>
      <c r="B1803" t="s">
        <v>4</v>
      </c>
    </row>
    <row r="1804" spans="1:2" x14ac:dyDescent="0.2">
      <c r="A1804" t="str">
        <f>"C14orf93"</f>
        <v>C14orf93</v>
      </c>
      <c r="B1804" t="s">
        <v>4</v>
      </c>
    </row>
    <row r="1805" spans="1:2" x14ac:dyDescent="0.2">
      <c r="A1805" t="str">
        <f>"C15orf26"</f>
        <v>C15orf26</v>
      </c>
      <c r="B1805" t="s">
        <v>4</v>
      </c>
    </row>
    <row r="1806" spans="1:2" x14ac:dyDescent="0.2">
      <c r="A1806" t="str">
        <f>"C15orf27"</f>
        <v>C15orf27</v>
      </c>
      <c r="B1806" t="s">
        <v>5</v>
      </c>
    </row>
    <row r="1807" spans="1:2" x14ac:dyDescent="0.2">
      <c r="A1807" t="str">
        <f>"C15orf32"</f>
        <v>C15orf32</v>
      </c>
      <c r="B1807" t="s">
        <v>5</v>
      </c>
    </row>
    <row r="1808" spans="1:2" x14ac:dyDescent="0.2">
      <c r="A1808" t="str">
        <f>"C15orf38"</f>
        <v>C15orf38</v>
      </c>
      <c r="B1808" t="s">
        <v>4</v>
      </c>
    </row>
    <row r="1809" spans="1:2" x14ac:dyDescent="0.2">
      <c r="A1809" t="str">
        <f>"C15orf38-AP3S2"</f>
        <v>C15orf38-AP3S2</v>
      </c>
      <c r="B1809" t="s">
        <v>6</v>
      </c>
    </row>
    <row r="1810" spans="1:2" x14ac:dyDescent="0.2">
      <c r="A1810" t="str">
        <f>"C15orf39"</f>
        <v>C15orf39</v>
      </c>
      <c r="B1810" t="s">
        <v>4</v>
      </c>
    </row>
    <row r="1811" spans="1:2" x14ac:dyDescent="0.2">
      <c r="A1811" t="str">
        <f>"C15orf40"</f>
        <v>C15orf40</v>
      </c>
      <c r="B1811" t="s">
        <v>4</v>
      </c>
    </row>
    <row r="1812" spans="1:2" x14ac:dyDescent="0.2">
      <c r="A1812" t="str">
        <f>"C15orf41"</f>
        <v>C15orf41</v>
      </c>
      <c r="B1812" t="s">
        <v>3</v>
      </c>
    </row>
    <row r="1813" spans="1:2" x14ac:dyDescent="0.2">
      <c r="A1813" t="str">
        <f>"C15orf43"</f>
        <v>C15orf43</v>
      </c>
      <c r="B1813" t="s">
        <v>4</v>
      </c>
    </row>
    <row r="1814" spans="1:2" x14ac:dyDescent="0.2">
      <c r="A1814" t="str">
        <f>"C15orf48"</f>
        <v>C15orf48</v>
      </c>
      <c r="B1814" t="s">
        <v>6</v>
      </c>
    </row>
    <row r="1815" spans="1:2" x14ac:dyDescent="0.2">
      <c r="A1815" t="str">
        <f>"C15orf52"</f>
        <v>C15orf52</v>
      </c>
      <c r="B1815" t="s">
        <v>5</v>
      </c>
    </row>
    <row r="1816" spans="1:2" x14ac:dyDescent="0.2">
      <c r="A1816" t="str">
        <f>"C15orf53"</f>
        <v>C15orf53</v>
      </c>
      <c r="B1816" t="s">
        <v>4</v>
      </c>
    </row>
    <row r="1817" spans="1:2" x14ac:dyDescent="0.2">
      <c r="A1817" t="str">
        <f>"C15orf54"</f>
        <v>C15orf54</v>
      </c>
      <c r="B1817" t="s">
        <v>4</v>
      </c>
    </row>
    <row r="1818" spans="1:2" x14ac:dyDescent="0.2">
      <c r="A1818" t="str">
        <f>"C15orf56"</f>
        <v>C15orf56</v>
      </c>
      <c r="B1818" t="s">
        <v>4</v>
      </c>
    </row>
    <row r="1819" spans="1:2" x14ac:dyDescent="0.2">
      <c r="A1819" t="str">
        <f>"C15orf57"</f>
        <v>C15orf57</v>
      </c>
      <c r="B1819" t="s">
        <v>3</v>
      </c>
    </row>
    <row r="1820" spans="1:2" x14ac:dyDescent="0.2">
      <c r="A1820" t="str">
        <f>"C15orf59"</f>
        <v>C15orf59</v>
      </c>
      <c r="B1820" t="s">
        <v>4</v>
      </c>
    </row>
    <row r="1821" spans="1:2" x14ac:dyDescent="0.2">
      <c r="A1821" t="str">
        <f>"C15orf60"</f>
        <v>C15orf60</v>
      </c>
      <c r="B1821" t="s">
        <v>4</v>
      </c>
    </row>
    <row r="1822" spans="1:2" x14ac:dyDescent="0.2">
      <c r="A1822" t="str">
        <f>"C15orf61"</f>
        <v>C15orf61</v>
      </c>
      <c r="B1822" t="s">
        <v>6</v>
      </c>
    </row>
    <row r="1823" spans="1:2" x14ac:dyDescent="0.2">
      <c r="A1823" t="str">
        <f>"C15orf62"</f>
        <v>C15orf62</v>
      </c>
      <c r="B1823" t="s">
        <v>6</v>
      </c>
    </row>
    <row r="1824" spans="1:2" x14ac:dyDescent="0.2">
      <c r="A1824" t="str">
        <f>"C15orf65"</f>
        <v>C15orf65</v>
      </c>
      <c r="B1824" t="s">
        <v>4</v>
      </c>
    </row>
    <row r="1825" spans="1:2" x14ac:dyDescent="0.2">
      <c r="A1825" t="str">
        <f>"C16orf11"</f>
        <v>C16orf11</v>
      </c>
      <c r="B1825" t="s">
        <v>4</v>
      </c>
    </row>
    <row r="1826" spans="1:2" x14ac:dyDescent="0.2">
      <c r="A1826" t="str">
        <f>"C16orf13"</f>
        <v>C16orf13</v>
      </c>
      <c r="B1826" t="s">
        <v>4</v>
      </c>
    </row>
    <row r="1827" spans="1:2" x14ac:dyDescent="0.2">
      <c r="A1827" t="str">
        <f>"C16orf3"</f>
        <v>C16orf3</v>
      </c>
      <c r="B1827" t="s">
        <v>4</v>
      </c>
    </row>
    <row r="1828" spans="1:2" x14ac:dyDescent="0.2">
      <c r="A1828" t="str">
        <f>"C16orf45"</f>
        <v>C16orf45</v>
      </c>
      <c r="B1828" t="s">
        <v>4</v>
      </c>
    </row>
    <row r="1829" spans="1:2" x14ac:dyDescent="0.2">
      <c r="A1829" t="str">
        <f>"C16orf46"</f>
        <v>C16orf46</v>
      </c>
      <c r="B1829" t="s">
        <v>4</v>
      </c>
    </row>
    <row r="1830" spans="1:2" x14ac:dyDescent="0.2">
      <c r="A1830" t="str">
        <f>"C16orf47"</f>
        <v>C16orf47</v>
      </c>
      <c r="B1830" t="s">
        <v>4</v>
      </c>
    </row>
    <row r="1831" spans="1:2" x14ac:dyDescent="0.2">
      <c r="A1831" t="str">
        <f>"C16orf52"</f>
        <v>C16orf52</v>
      </c>
      <c r="B1831" t="s">
        <v>4</v>
      </c>
    </row>
    <row r="1832" spans="1:2" x14ac:dyDescent="0.2">
      <c r="A1832" t="str">
        <f>"C16orf54"</f>
        <v>C16orf54</v>
      </c>
      <c r="B1832" t="s">
        <v>5</v>
      </c>
    </row>
    <row r="1833" spans="1:2" x14ac:dyDescent="0.2">
      <c r="A1833" t="str">
        <f>"C16orf58"</f>
        <v>C16orf58</v>
      </c>
      <c r="B1833" t="s">
        <v>6</v>
      </c>
    </row>
    <row r="1834" spans="1:2" x14ac:dyDescent="0.2">
      <c r="A1834" t="str">
        <f>"C16orf59"</f>
        <v>C16orf59</v>
      </c>
      <c r="B1834" t="s">
        <v>4</v>
      </c>
    </row>
    <row r="1835" spans="1:2" x14ac:dyDescent="0.2">
      <c r="A1835" t="str">
        <f>"C16orf62"</f>
        <v>C16orf62</v>
      </c>
      <c r="B1835" t="s">
        <v>6</v>
      </c>
    </row>
    <row r="1836" spans="1:2" x14ac:dyDescent="0.2">
      <c r="A1836" t="str">
        <f>"C16orf70"</f>
        <v>C16orf70</v>
      </c>
      <c r="B1836" t="s">
        <v>6</v>
      </c>
    </row>
    <row r="1837" spans="1:2" x14ac:dyDescent="0.2">
      <c r="A1837" t="str">
        <f>"C16orf71"</f>
        <v>C16orf71</v>
      </c>
      <c r="B1837" t="s">
        <v>4</v>
      </c>
    </row>
    <row r="1838" spans="1:2" x14ac:dyDescent="0.2">
      <c r="A1838" t="str">
        <f>"C16orf72"</f>
        <v>C16orf72</v>
      </c>
      <c r="B1838" t="s">
        <v>4</v>
      </c>
    </row>
    <row r="1839" spans="1:2" x14ac:dyDescent="0.2">
      <c r="A1839" t="str">
        <f>"C16orf74"</f>
        <v>C16orf74</v>
      </c>
      <c r="B1839" t="s">
        <v>4</v>
      </c>
    </row>
    <row r="1840" spans="1:2" x14ac:dyDescent="0.2">
      <c r="A1840" t="str">
        <f>"C16orf78"</f>
        <v>C16orf78</v>
      </c>
      <c r="B1840" t="s">
        <v>4</v>
      </c>
    </row>
    <row r="1841" spans="1:2" x14ac:dyDescent="0.2">
      <c r="A1841" t="str">
        <f>"C16orf80"</f>
        <v>C16orf80</v>
      </c>
      <c r="B1841" t="s">
        <v>8</v>
      </c>
    </row>
    <row r="1842" spans="1:2" x14ac:dyDescent="0.2">
      <c r="A1842" t="str">
        <f>"C16orf82"</f>
        <v>C16orf82</v>
      </c>
      <c r="B1842" t="s">
        <v>4</v>
      </c>
    </row>
    <row r="1843" spans="1:2" x14ac:dyDescent="0.2">
      <c r="A1843" t="str">
        <f>"C16orf86"</f>
        <v>C16orf86</v>
      </c>
      <c r="B1843" t="s">
        <v>4</v>
      </c>
    </row>
    <row r="1844" spans="1:2" x14ac:dyDescent="0.2">
      <c r="A1844" t="str">
        <f>"C16orf87"</f>
        <v>C16orf87</v>
      </c>
      <c r="B1844" t="s">
        <v>4</v>
      </c>
    </row>
    <row r="1845" spans="1:2" x14ac:dyDescent="0.2">
      <c r="A1845" t="str">
        <f>"C16orf89"</f>
        <v>C16orf89</v>
      </c>
      <c r="B1845" t="s">
        <v>5</v>
      </c>
    </row>
    <row r="1846" spans="1:2" x14ac:dyDescent="0.2">
      <c r="A1846" t="str">
        <f>"C16orf90"</f>
        <v>C16orf90</v>
      </c>
      <c r="B1846" t="s">
        <v>4</v>
      </c>
    </row>
    <row r="1847" spans="1:2" x14ac:dyDescent="0.2">
      <c r="A1847" t="str">
        <f>"C16orf91"</f>
        <v>C16orf91</v>
      </c>
      <c r="B1847" t="s">
        <v>5</v>
      </c>
    </row>
    <row r="1848" spans="1:2" x14ac:dyDescent="0.2">
      <c r="A1848" t="str">
        <f>"C16orf92"</f>
        <v>C16orf92</v>
      </c>
      <c r="B1848" t="s">
        <v>5</v>
      </c>
    </row>
    <row r="1849" spans="1:2" x14ac:dyDescent="0.2">
      <c r="A1849" t="str">
        <f>"C16orf93"</f>
        <v>C16orf93</v>
      </c>
      <c r="B1849" t="s">
        <v>4</v>
      </c>
    </row>
    <row r="1850" spans="1:2" x14ac:dyDescent="0.2">
      <c r="A1850" t="str">
        <f>"C16orf95"</f>
        <v>C16orf95</v>
      </c>
      <c r="B1850" t="s">
        <v>4</v>
      </c>
    </row>
    <row r="1851" spans="1:2" x14ac:dyDescent="0.2">
      <c r="A1851" t="str">
        <f>"C16orf96"</f>
        <v>C16orf96</v>
      </c>
      <c r="B1851" t="s">
        <v>4</v>
      </c>
    </row>
    <row r="1852" spans="1:2" x14ac:dyDescent="0.2">
      <c r="A1852" t="str">
        <f>"C16orf97"</f>
        <v>C16orf97</v>
      </c>
      <c r="B1852" t="s">
        <v>4</v>
      </c>
    </row>
    <row r="1853" spans="1:2" x14ac:dyDescent="0.2">
      <c r="A1853" t="str">
        <f>"C17orf100"</f>
        <v>C17orf100</v>
      </c>
      <c r="B1853" t="s">
        <v>4</v>
      </c>
    </row>
    <row r="1854" spans="1:2" x14ac:dyDescent="0.2">
      <c r="A1854" t="str">
        <f>"C17orf102"</f>
        <v>C17orf102</v>
      </c>
      <c r="B1854" t="s">
        <v>4</v>
      </c>
    </row>
    <row r="1855" spans="1:2" x14ac:dyDescent="0.2">
      <c r="A1855" t="str">
        <f>"C17orf103"</f>
        <v>C17orf103</v>
      </c>
      <c r="B1855" t="s">
        <v>4</v>
      </c>
    </row>
    <row r="1856" spans="1:2" x14ac:dyDescent="0.2">
      <c r="A1856" t="str">
        <f>"C17orf104"</f>
        <v>C17orf104</v>
      </c>
      <c r="B1856" t="s">
        <v>4</v>
      </c>
    </row>
    <row r="1857" spans="1:2" x14ac:dyDescent="0.2">
      <c r="A1857" t="str">
        <f>"C17orf105"</f>
        <v>C17orf105</v>
      </c>
      <c r="B1857" t="s">
        <v>4</v>
      </c>
    </row>
    <row r="1858" spans="1:2" x14ac:dyDescent="0.2">
      <c r="A1858" t="str">
        <f>"C17orf107"</f>
        <v>C17orf107</v>
      </c>
      <c r="B1858" t="s">
        <v>4</v>
      </c>
    </row>
    <row r="1859" spans="1:2" x14ac:dyDescent="0.2">
      <c r="A1859" t="str">
        <f>"C17orf112"</f>
        <v>C17orf112</v>
      </c>
      <c r="B1859" t="s">
        <v>4</v>
      </c>
    </row>
    <row r="1860" spans="1:2" x14ac:dyDescent="0.2">
      <c r="A1860" t="str">
        <f>"C17orf47"</f>
        <v>C17orf47</v>
      </c>
      <c r="B1860" t="s">
        <v>4</v>
      </c>
    </row>
    <row r="1861" spans="1:2" x14ac:dyDescent="0.2">
      <c r="A1861" t="str">
        <f>"C17orf49"</f>
        <v>C17orf49</v>
      </c>
      <c r="B1861" t="s">
        <v>8</v>
      </c>
    </row>
    <row r="1862" spans="1:2" x14ac:dyDescent="0.2">
      <c r="A1862" t="str">
        <f>"C17orf50"</f>
        <v>C17orf50</v>
      </c>
      <c r="B1862" t="s">
        <v>4</v>
      </c>
    </row>
    <row r="1863" spans="1:2" x14ac:dyDescent="0.2">
      <c r="A1863" t="str">
        <f>"C17orf51"</f>
        <v>C17orf51</v>
      </c>
      <c r="B1863" t="s">
        <v>4</v>
      </c>
    </row>
    <row r="1864" spans="1:2" x14ac:dyDescent="0.2">
      <c r="A1864" t="str">
        <f>"C17orf53"</f>
        <v>C17orf53</v>
      </c>
      <c r="B1864" t="s">
        <v>4</v>
      </c>
    </row>
    <row r="1865" spans="1:2" x14ac:dyDescent="0.2">
      <c r="A1865" t="str">
        <f>"C17orf58"</f>
        <v>C17orf58</v>
      </c>
      <c r="B1865" t="s">
        <v>4</v>
      </c>
    </row>
    <row r="1866" spans="1:2" x14ac:dyDescent="0.2">
      <c r="A1866" t="str">
        <f>"C17orf59"</f>
        <v>C17orf59</v>
      </c>
      <c r="B1866" t="s">
        <v>4</v>
      </c>
    </row>
    <row r="1867" spans="1:2" x14ac:dyDescent="0.2">
      <c r="A1867" t="str">
        <f>"C17orf62"</f>
        <v>C17orf62</v>
      </c>
      <c r="B1867" t="s">
        <v>5</v>
      </c>
    </row>
    <row r="1868" spans="1:2" x14ac:dyDescent="0.2">
      <c r="A1868" t="str">
        <f>"C17orf64"</f>
        <v>C17orf64</v>
      </c>
      <c r="B1868" t="s">
        <v>4</v>
      </c>
    </row>
    <row r="1869" spans="1:2" x14ac:dyDescent="0.2">
      <c r="A1869" t="str">
        <f>"C17orf66"</f>
        <v>C17orf66</v>
      </c>
      <c r="B1869" t="s">
        <v>4</v>
      </c>
    </row>
    <row r="1870" spans="1:2" x14ac:dyDescent="0.2">
      <c r="A1870" t="str">
        <f>"C17orf67"</f>
        <v>C17orf67</v>
      </c>
      <c r="B1870" t="s">
        <v>4</v>
      </c>
    </row>
    <row r="1871" spans="1:2" x14ac:dyDescent="0.2">
      <c r="A1871" t="str">
        <f>"C17orf70"</f>
        <v>C17orf70</v>
      </c>
      <c r="B1871" t="s">
        <v>3</v>
      </c>
    </row>
    <row r="1872" spans="1:2" x14ac:dyDescent="0.2">
      <c r="A1872" t="str">
        <f>"C17orf72"</f>
        <v>C17orf72</v>
      </c>
      <c r="B1872" t="s">
        <v>4</v>
      </c>
    </row>
    <row r="1873" spans="1:2" x14ac:dyDescent="0.2">
      <c r="A1873" t="str">
        <f>"C17orf74"</f>
        <v>C17orf74</v>
      </c>
      <c r="B1873" t="s">
        <v>5</v>
      </c>
    </row>
    <row r="1874" spans="1:2" x14ac:dyDescent="0.2">
      <c r="A1874" t="str">
        <f>"C17orf75"</f>
        <v>C17orf75</v>
      </c>
      <c r="B1874" t="s">
        <v>7</v>
      </c>
    </row>
    <row r="1875" spans="1:2" x14ac:dyDescent="0.2">
      <c r="A1875" t="str">
        <f>"C17orf77"</f>
        <v>C17orf77</v>
      </c>
      <c r="B1875" t="s">
        <v>4</v>
      </c>
    </row>
    <row r="1876" spans="1:2" x14ac:dyDescent="0.2">
      <c r="A1876" t="str">
        <f>"C17orf78"</f>
        <v>C17orf78</v>
      </c>
      <c r="B1876" t="s">
        <v>5</v>
      </c>
    </row>
    <row r="1877" spans="1:2" x14ac:dyDescent="0.2">
      <c r="A1877" t="str">
        <f>"C17orf80"</f>
        <v>C17orf80</v>
      </c>
      <c r="B1877" t="s">
        <v>5</v>
      </c>
    </row>
    <row r="1878" spans="1:2" x14ac:dyDescent="0.2">
      <c r="A1878" t="str">
        <f>"C17orf82"</f>
        <v>C17orf82</v>
      </c>
      <c r="B1878" t="s">
        <v>4</v>
      </c>
    </row>
    <row r="1879" spans="1:2" x14ac:dyDescent="0.2">
      <c r="A1879" t="str">
        <f>"C17orf85"</f>
        <v>C17orf85</v>
      </c>
      <c r="B1879" t="s">
        <v>6</v>
      </c>
    </row>
    <row r="1880" spans="1:2" x14ac:dyDescent="0.2">
      <c r="A1880" t="str">
        <f>"C17orf89"</f>
        <v>C17orf89</v>
      </c>
      <c r="B1880" t="s">
        <v>6</v>
      </c>
    </row>
    <row r="1881" spans="1:2" x14ac:dyDescent="0.2">
      <c r="A1881" t="str">
        <f>"C17orf96"</f>
        <v>C17orf96</v>
      </c>
      <c r="B1881" t="s">
        <v>4</v>
      </c>
    </row>
    <row r="1882" spans="1:2" x14ac:dyDescent="0.2">
      <c r="A1882" t="str">
        <f>"C17orf97"</f>
        <v>C17orf97</v>
      </c>
      <c r="B1882" t="s">
        <v>4</v>
      </c>
    </row>
    <row r="1883" spans="1:2" x14ac:dyDescent="0.2">
      <c r="A1883" t="str">
        <f>"C17orf98"</f>
        <v>C17orf98</v>
      </c>
      <c r="B1883" t="s">
        <v>4</v>
      </c>
    </row>
    <row r="1884" spans="1:2" x14ac:dyDescent="0.2">
      <c r="A1884" t="str">
        <f>"C17orf99"</f>
        <v>C17orf99</v>
      </c>
      <c r="B1884" t="s">
        <v>4</v>
      </c>
    </row>
    <row r="1885" spans="1:2" x14ac:dyDescent="0.2">
      <c r="A1885" t="str">
        <f>"C18orf21"</f>
        <v>C18orf21</v>
      </c>
      <c r="B1885" t="s">
        <v>4</v>
      </c>
    </row>
    <row r="1886" spans="1:2" x14ac:dyDescent="0.2">
      <c r="A1886" t="str">
        <f>"C18orf25"</f>
        <v>C18orf25</v>
      </c>
      <c r="B1886" t="s">
        <v>4</v>
      </c>
    </row>
    <row r="1887" spans="1:2" x14ac:dyDescent="0.2">
      <c r="A1887" t="str">
        <f>"C18orf32"</f>
        <v>C18orf32</v>
      </c>
      <c r="B1887" t="s">
        <v>4</v>
      </c>
    </row>
    <row r="1888" spans="1:2" x14ac:dyDescent="0.2">
      <c r="A1888" t="str">
        <f>"C18orf42"</f>
        <v>C18orf42</v>
      </c>
      <c r="B1888" t="s">
        <v>4</v>
      </c>
    </row>
    <row r="1889" spans="1:2" x14ac:dyDescent="0.2">
      <c r="A1889" t="str">
        <f>"C18orf54"</f>
        <v>C18orf54</v>
      </c>
      <c r="B1889" t="s">
        <v>4</v>
      </c>
    </row>
    <row r="1890" spans="1:2" x14ac:dyDescent="0.2">
      <c r="A1890" t="str">
        <f>"C18orf56"</f>
        <v>C18orf56</v>
      </c>
      <c r="B1890" t="s">
        <v>4</v>
      </c>
    </row>
    <row r="1891" spans="1:2" x14ac:dyDescent="0.2">
      <c r="A1891" t="str">
        <f>"C18orf63"</f>
        <v>C18orf63</v>
      </c>
      <c r="B1891" t="s">
        <v>4</v>
      </c>
    </row>
    <row r="1892" spans="1:2" x14ac:dyDescent="0.2">
      <c r="A1892" t="str">
        <f>"C18orf8"</f>
        <v>C18orf8</v>
      </c>
      <c r="B1892" t="s">
        <v>5</v>
      </c>
    </row>
    <row r="1893" spans="1:2" x14ac:dyDescent="0.2">
      <c r="A1893" t="str">
        <f>"C19orf10"</f>
        <v>C19orf10</v>
      </c>
      <c r="B1893" t="s">
        <v>6</v>
      </c>
    </row>
    <row r="1894" spans="1:2" x14ac:dyDescent="0.2">
      <c r="A1894" t="str">
        <f>"C19orf12"</f>
        <v>C19orf12</v>
      </c>
      <c r="B1894" t="s">
        <v>4</v>
      </c>
    </row>
    <row r="1895" spans="1:2" x14ac:dyDescent="0.2">
      <c r="A1895" t="str">
        <f>"C19orf18"</f>
        <v>C19orf18</v>
      </c>
      <c r="B1895" t="s">
        <v>5</v>
      </c>
    </row>
    <row r="1896" spans="1:2" x14ac:dyDescent="0.2">
      <c r="A1896" t="str">
        <f>"C19orf24"</f>
        <v>C19orf24</v>
      </c>
      <c r="B1896" t="s">
        <v>5</v>
      </c>
    </row>
    <row r="1897" spans="1:2" x14ac:dyDescent="0.2">
      <c r="A1897" t="str">
        <f>"C19orf25"</f>
        <v>C19orf25</v>
      </c>
      <c r="B1897" t="s">
        <v>3</v>
      </c>
    </row>
    <row r="1898" spans="1:2" x14ac:dyDescent="0.2">
      <c r="A1898" t="str">
        <f>"C19orf26"</f>
        <v>C19orf26</v>
      </c>
      <c r="B1898" t="s">
        <v>5</v>
      </c>
    </row>
    <row r="1899" spans="1:2" x14ac:dyDescent="0.2">
      <c r="A1899" t="str">
        <f>"C19orf33"</f>
        <v>C19orf33</v>
      </c>
      <c r="B1899" t="s">
        <v>3</v>
      </c>
    </row>
    <row r="1900" spans="1:2" x14ac:dyDescent="0.2">
      <c r="A1900" t="str">
        <f>"C19orf35"</f>
        <v>C19orf35</v>
      </c>
      <c r="B1900" t="s">
        <v>5</v>
      </c>
    </row>
    <row r="1901" spans="1:2" x14ac:dyDescent="0.2">
      <c r="A1901" t="str">
        <f>"C19orf38"</f>
        <v>C19orf38</v>
      </c>
      <c r="B1901" t="s">
        <v>4</v>
      </c>
    </row>
    <row r="1902" spans="1:2" x14ac:dyDescent="0.2">
      <c r="A1902" t="str">
        <f>"C19orf40"</f>
        <v>C19orf40</v>
      </c>
      <c r="B1902" t="s">
        <v>3</v>
      </c>
    </row>
    <row r="1903" spans="1:2" x14ac:dyDescent="0.2">
      <c r="A1903" t="str">
        <f>"C19orf43"</f>
        <v>C19orf43</v>
      </c>
      <c r="B1903" t="s">
        <v>6</v>
      </c>
    </row>
    <row r="1904" spans="1:2" x14ac:dyDescent="0.2">
      <c r="A1904" t="str">
        <f>"C19orf44"</f>
        <v>C19orf44</v>
      </c>
      <c r="B1904" t="s">
        <v>4</v>
      </c>
    </row>
    <row r="1905" spans="1:2" x14ac:dyDescent="0.2">
      <c r="A1905" t="str">
        <f>"C19orf45"</f>
        <v>C19orf45</v>
      </c>
      <c r="B1905" t="s">
        <v>4</v>
      </c>
    </row>
    <row r="1906" spans="1:2" x14ac:dyDescent="0.2">
      <c r="A1906" t="str">
        <f>"C19orf47"</f>
        <v>C19orf47</v>
      </c>
      <c r="B1906" t="s">
        <v>4</v>
      </c>
    </row>
    <row r="1907" spans="1:2" x14ac:dyDescent="0.2">
      <c r="A1907" t="str">
        <f>"C19orf48"</f>
        <v>C19orf48</v>
      </c>
      <c r="B1907" t="s">
        <v>4</v>
      </c>
    </row>
    <row r="1908" spans="1:2" x14ac:dyDescent="0.2">
      <c r="A1908" t="str">
        <f>"C19orf52"</f>
        <v>C19orf52</v>
      </c>
      <c r="B1908" t="s">
        <v>2</v>
      </c>
    </row>
    <row r="1909" spans="1:2" x14ac:dyDescent="0.2">
      <c r="A1909" t="str">
        <f>"C19orf53"</f>
        <v>C19orf53</v>
      </c>
      <c r="B1909" t="s">
        <v>4</v>
      </c>
    </row>
    <row r="1910" spans="1:2" x14ac:dyDescent="0.2">
      <c r="A1910" t="str">
        <f>"C19orf54"</f>
        <v>C19orf54</v>
      </c>
      <c r="B1910" t="s">
        <v>2</v>
      </c>
    </row>
    <row r="1911" spans="1:2" x14ac:dyDescent="0.2">
      <c r="A1911" t="str">
        <f>"C19orf55"</f>
        <v>C19orf55</v>
      </c>
      <c r="B1911" t="s">
        <v>3</v>
      </c>
    </row>
    <row r="1912" spans="1:2" x14ac:dyDescent="0.2">
      <c r="A1912" t="str">
        <f>"C19orf57"</f>
        <v>C19orf57</v>
      </c>
      <c r="B1912" t="s">
        <v>4</v>
      </c>
    </row>
    <row r="1913" spans="1:2" x14ac:dyDescent="0.2">
      <c r="A1913" t="str">
        <f>"C19orf59"</f>
        <v>C19orf59</v>
      </c>
      <c r="B1913" t="s">
        <v>5</v>
      </c>
    </row>
    <row r="1914" spans="1:2" x14ac:dyDescent="0.2">
      <c r="A1914" t="str">
        <f>"C19orf60"</f>
        <v>C19orf60</v>
      </c>
      <c r="B1914" t="s">
        <v>3</v>
      </c>
    </row>
    <row r="1915" spans="1:2" x14ac:dyDescent="0.2">
      <c r="A1915" t="str">
        <f>"C19orf66"</f>
        <v>C19orf66</v>
      </c>
      <c r="B1915" t="s">
        <v>3</v>
      </c>
    </row>
    <row r="1916" spans="1:2" x14ac:dyDescent="0.2">
      <c r="A1916" t="str">
        <f>"C19orf67"</f>
        <v>C19orf67</v>
      </c>
      <c r="B1916" t="s">
        <v>4</v>
      </c>
    </row>
    <row r="1917" spans="1:2" x14ac:dyDescent="0.2">
      <c r="A1917" t="str">
        <f>"C19orf68"</f>
        <v>C19orf68</v>
      </c>
      <c r="B1917" t="s">
        <v>4</v>
      </c>
    </row>
    <row r="1918" spans="1:2" x14ac:dyDescent="0.2">
      <c r="A1918" t="str">
        <f>"C19orf69"</f>
        <v>C19orf69</v>
      </c>
      <c r="B1918" t="s">
        <v>4</v>
      </c>
    </row>
    <row r="1919" spans="1:2" x14ac:dyDescent="0.2">
      <c r="A1919" t="str">
        <f>"C19orf70"</f>
        <v>C19orf70</v>
      </c>
      <c r="B1919" t="s">
        <v>6</v>
      </c>
    </row>
    <row r="1920" spans="1:2" x14ac:dyDescent="0.2">
      <c r="A1920" t="str">
        <f>"C19orf71"</f>
        <v>C19orf71</v>
      </c>
      <c r="B1920" t="s">
        <v>4</v>
      </c>
    </row>
    <row r="1921" spans="1:2" x14ac:dyDescent="0.2">
      <c r="A1921" t="str">
        <f>"C19orf73"</f>
        <v>C19orf73</v>
      </c>
      <c r="B1921" t="s">
        <v>4</v>
      </c>
    </row>
    <row r="1922" spans="1:2" x14ac:dyDescent="0.2">
      <c r="A1922" t="str">
        <f>"C19orf77"</f>
        <v>C19orf77</v>
      </c>
      <c r="B1922" t="s">
        <v>5</v>
      </c>
    </row>
    <row r="1923" spans="1:2" x14ac:dyDescent="0.2">
      <c r="A1923" t="str">
        <f>"C19orf80"</f>
        <v>C19orf80</v>
      </c>
      <c r="B1923" t="s">
        <v>5</v>
      </c>
    </row>
    <row r="1924" spans="1:2" x14ac:dyDescent="0.2">
      <c r="A1924" t="str">
        <f>"C19orf81"</f>
        <v>C19orf81</v>
      </c>
      <c r="B1924" t="s">
        <v>4</v>
      </c>
    </row>
    <row r="1925" spans="1:2" x14ac:dyDescent="0.2">
      <c r="A1925" t="str">
        <f>"C19orf82"</f>
        <v>C19orf82</v>
      </c>
      <c r="B1925" t="s">
        <v>4</v>
      </c>
    </row>
    <row r="1926" spans="1:2" x14ac:dyDescent="0.2">
      <c r="A1926" t="str">
        <f>"C1D"</f>
        <v>C1D</v>
      </c>
      <c r="B1926" t="s">
        <v>2</v>
      </c>
    </row>
    <row r="1927" spans="1:2" x14ac:dyDescent="0.2">
      <c r="A1927" t="str">
        <f>"C1GALT1"</f>
        <v>C1GALT1</v>
      </c>
      <c r="B1927" t="s">
        <v>6</v>
      </c>
    </row>
    <row r="1928" spans="1:2" x14ac:dyDescent="0.2">
      <c r="A1928" t="str">
        <f>"C1GALT1C1"</f>
        <v>C1GALT1C1</v>
      </c>
      <c r="B1928" t="s">
        <v>2</v>
      </c>
    </row>
    <row r="1929" spans="1:2" x14ac:dyDescent="0.2">
      <c r="A1929" t="str">
        <f>"C1QA"</f>
        <v>C1QA</v>
      </c>
      <c r="B1929" t="s">
        <v>7</v>
      </c>
    </row>
    <row r="1930" spans="1:2" x14ac:dyDescent="0.2">
      <c r="A1930" t="str">
        <f>"C1QB"</f>
        <v>C1QB</v>
      </c>
      <c r="B1930" t="s">
        <v>7</v>
      </c>
    </row>
    <row r="1931" spans="1:2" x14ac:dyDescent="0.2">
      <c r="A1931" t="str">
        <f>"C1QBP"</f>
        <v>C1QBP</v>
      </c>
      <c r="B1931" t="s">
        <v>6</v>
      </c>
    </row>
    <row r="1932" spans="1:2" x14ac:dyDescent="0.2">
      <c r="A1932" t="str">
        <f>"C1QC"</f>
        <v>C1QC</v>
      </c>
      <c r="B1932" t="s">
        <v>7</v>
      </c>
    </row>
    <row r="1933" spans="1:2" x14ac:dyDescent="0.2">
      <c r="A1933" t="str">
        <f>"C1QL1"</f>
        <v>C1QL1</v>
      </c>
      <c r="B1933" t="s">
        <v>3</v>
      </c>
    </row>
    <row r="1934" spans="1:2" x14ac:dyDescent="0.2">
      <c r="A1934" t="str">
        <f>"C1QL2"</f>
        <v>C1QL2</v>
      </c>
      <c r="B1934" t="s">
        <v>4</v>
      </c>
    </row>
    <row r="1935" spans="1:2" x14ac:dyDescent="0.2">
      <c r="A1935" t="str">
        <f>"C1QL3"</f>
        <v>C1QL3</v>
      </c>
      <c r="B1935" t="s">
        <v>4</v>
      </c>
    </row>
    <row r="1936" spans="1:2" x14ac:dyDescent="0.2">
      <c r="A1936" t="str">
        <f>"C1QL4"</f>
        <v>C1QL4</v>
      </c>
      <c r="B1936" t="s">
        <v>4</v>
      </c>
    </row>
    <row r="1937" spans="1:2" x14ac:dyDescent="0.2">
      <c r="A1937" t="str">
        <f>"C1QTNF1"</f>
        <v>C1QTNF1</v>
      </c>
      <c r="B1937" t="s">
        <v>4</v>
      </c>
    </row>
    <row r="1938" spans="1:2" x14ac:dyDescent="0.2">
      <c r="A1938" t="str">
        <f>"C1QTNF2"</f>
        <v>C1QTNF2</v>
      </c>
      <c r="B1938" t="s">
        <v>4</v>
      </c>
    </row>
    <row r="1939" spans="1:2" x14ac:dyDescent="0.2">
      <c r="A1939" t="str">
        <f>"C1QTNF3"</f>
        <v>C1QTNF3</v>
      </c>
      <c r="B1939" t="s">
        <v>4</v>
      </c>
    </row>
    <row r="1940" spans="1:2" x14ac:dyDescent="0.2">
      <c r="A1940" t="str">
        <f>"C1QTNF4"</f>
        <v>C1QTNF4</v>
      </c>
      <c r="B1940" t="s">
        <v>4</v>
      </c>
    </row>
    <row r="1941" spans="1:2" x14ac:dyDescent="0.2">
      <c r="A1941" t="str">
        <f>"C1QTNF5"</f>
        <v>C1QTNF5</v>
      </c>
      <c r="B1941" t="s">
        <v>4</v>
      </c>
    </row>
    <row r="1942" spans="1:2" x14ac:dyDescent="0.2">
      <c r="A1942" t="str">
        <f>"C1QTNF6"</f>
        <v>C1QTNF6</v>
      </c>
      <c r="B1942" t="s">
        <v>5</v>
      </c>
    </row>
    <row r="1943" spans="1:2" x14ac:dyDescent="0.2">
      <c r="A1943" t="str">
        <f>"C1QTNF7"</f>
        <v>C1QTNF7</v>
      </c>
      <c r="B1943" t="s">
        <v>4</v>
      </c>
    </row>
    <row r="1944" spans="1:2" x14ac:dyDescent="0.2">
      <c r="A1944" t="str">
        <f>"C1QTNF8"</f>
        <v>C1QTNF8</v>
      </c>
      <c r="B1944" t="s">
        <v>4</v>
      </c>
    </row>
    <row r="1945" spans="1:2" x14ac:dyDescent="0.2">
      <c r="A1945" t="str">
        <f>"C1QTNF9"</f>
        <v>C1QTNF9</v>
      </c>
      <c r="B1945" t="s">
        <v>3</v>
      </c>
    </row>
    <row r="1946" spans="1:2" x14ac:dyDescent="0.2">
      <c r="A1946" t="str">
        <f>"C1QTNF9B"</f>
        <v>C1QTNF9B</v>
      </c>
      <c r="B1946" t="s">
        <v>3</v>
      </c>
    </row>
    <row r="1947" spans="1:2" x14ac:dyDescent="0.2">
      <c r="A1947" t="str">
        <f>"C1QTNF9B-AS1"</f>
        <v>C1QTNF9B-AS1</v>
      </c>
      <c r="B1947" t="s">
        <v>4</v>
      </c>
    </row>
    <row r="1948" spans="1:2" x14ac:dyDescent="0.2">
      <c r="A1948" t="str">
        <f>"C1R"</f>
        <v>C1R</v>
      </c>
      <c r="B1948" t="s">
        <v>7</v>
      </c>
    </row>
    <row r="1949" spans="1:2" x14ac:dyDescent="0.2">
      <c r="A1949" t="str">
        <f>"C1RL"</f>
        <v>C1RL</v>
      </c>
      <c r="B1949" t="s">
        <v>2</v>
      </c>
    </row>
    <row r="1950" spans="1:2" x14ac:dyDescent="0.2">
      <c r="A1950" t="str">
        <f>"C1S"</f>
        <v>C1S</v>
      </c>
      <c r="B1950" t="s">
        <v>7</v>
      </c>
    </row>
    <row r="1951" spans="1:2" x14ac:dyDescent="0.2">
      <c r="A1951" t="str">
        <f>"C1orf100"</f>
        <v>C1orf100</v>
      </c>
      <c r="B1951" t="s">
        <v>4</v>
      </c>
    </row>
    <row r="1952" spans="1:2" x14ac:dyDescent="0.2">
      <c r="A1952" t="str">
        <f>"C1orf101"</f>
        <v>C1orf101</v>
      </c>
      <c r="B1952" t="s">
        <v>5</v>
      </c>
    </row>
    <row r="1953" spans="1:2" x14ac:dyDescent="0.2">
      <c r="A1953" t="str">
        <f>"C1orf105"</f>
        <v>C1orf105</v>
      </c>
      <c r="B1953" t="s">
        <v>4</v>
      </c>
    </row>
    <row r="1954" spans="1:2" x14ac:dyDescent="0.2">
      <c r="A1954" t="str">
        <f>"C1orf106"</f>
        <v>C1orf106</v>
      </c>
      <c r="B1954" t="s">
        <v>4</v>
      </c>
    </row>
    <row r="1955" spans="1:2" x14ac:dyDescent="0.2">
      <c r="A1955" t="str">
        <f>"C1orf109"</f>
        <v>C1orf109</v>
      </c>
      <c r="B1955" t="s">
        <v>4</v>
      </c>
    </row>
    <row r="1956" spans="1:2" x14ac:dyDescent="0.2">
      <c r="A1956" t="str">
        <f>"C1orf110"</f>
        <v>C1orf110</v>
      </c>
      <c r="B1956" t="s">
        <v>4</v>
      </c>
    </row>
    <row r="1957" spans="1:2" x14ac:dyDescent="0.2">
      <c r="A1957" t="str">
        <f>"C1orf111"</f>
        <v>C1orf111</v>
      </c>
      <c r="B1957" t="s">
        <v>4</v>
      </c>
    </row>
    <row r="1958" spans="1:2" x14ac:dyDescent="0.2">
      <c r="A1958" t="str">
        <f>"C1orf112"</f>
        <v>C1orf112</v>
      </c>
      <c r="B1958" t="s">
        <v>4</v>
      </c>
    </row>
    <row r="1959" spans="1:2" x14ac:dyDescent="0.2">
      <c r="A1959" t="str">
        <f>"C1orf115"</f>
        <v>C1orf115</v>
      </c>
      <c r="B1959" t="s">
        <v>4</v>
      </c>
    </row>
    <row r="1960" spans="1:2" x14ac:dyDescent="0.2">
      <c r="A1960" t="str">
        <f>"C1orf116"</f>
        <v>C1orf116</v>
      </c>
      <c r="B1960" t="s">
        <v>4</v>
      </c>
    </row>
    <row r="1961" spans="1:2" x14ac:dyDescent="0.2">
      <c r="A1961" t="str">
        <f>"C1orf122"</f>
        <v>C1orf122</v>
      </c>
      <c r="B1961" t="s">
        <v>4</v>
      </c>
    </row>
    <row r="1962" spans="1:2" x14ac:dyDescent="0.2">
      <c r="A1962" t="str">
        <f>"C1orf123"</f>
        <v>C1orf123</v>
      </c>
      <c r="B1962" t="s">
        <v>4</v>
      </c>
    </row>
    <row r="1963" spans="1:2" x14ac:dyDescent="0.2">
      <c r="A1963" t="str">
        <f>"C1orf127"</f>
        <v>C1orf127</v>
      </c>
      <c r="B1963" t="s">
        <v>4</v>
      </c>
    </row>
    <row r="1964" spans="1:2" x14ac:dyDescent="0.2">
      <c r="A1964" t="str">
        <f>"C1orf131"</f>
        <v>C1orf131</v>
      </c>
      <c r="B1964" t="s">
        <v>4</v>
      </c>
    </row>
    <row r="1965" spans="1:2" x14ac:dyDescent="0.2">
      <c r="A1965" t="str">
        <f>"C1orf134"</f>
        <v>C1orf134</v>
      </c>
      <c r="B1965" t="s">
        <v>4</v>
      </c>
    </row>
    <row r="1966" spans="1:2" x14ac:dyDescent="0.2">
      <c r="A1966" t="str">
        <f>"C1orf137"</f>
        <v>C1orf137</v>
      </c>
      <c r="B1966" t="s">
        <v>4</v>
      </c>
    </row>
    <row r="1967" spans="1:2" x14ac:dyDescent="0.2">
      <c r="A1967" t="str">
        <f>"C1orf141"</f>
        <v>C1orf141</v>
      </c>
      <c r="B1967" t="s">
        <v>4</v>
      </c>
    </row>
    <row r="1968" spans="1:2" x14ac:dyDescent="0.2">
      <c r="A1968" t="str">
        <f>"C1orf146"</f>
        <v>C1orf146</v>
      </c>
      <c r="B1968" t="s">
        <v>4</v>
      </c>
    </row>
    <row r="1969" spans="1:2" x14ac:dyDescent="0.2">
      <c r="A1969" t="str">
        <f>"C1orf158"</f>
        <v>C1orf158</v>
      </c>
      <c r="B1969" t="s">
        <v>4</v>
      </c>
    </row>
    <row r="1970" spans="1:2" x14ac:dyDescent="0.2">
      <c r="A1970" t="str">
        <f>"C1orf159"</f>
        <v>C1orf159</v>
      </c>
      <c r="B1970" t="s">
        <v>3</v>
      </c>
    </row>
    <row r="1971" spans="1:2" x14ac:dyDescent="0.2">
      <c r="A1971" t="str">
        <f>"C1orf162"</f>
        <v>C1orf162</v>
      </c>
      <c r="B1971" t="s">
        <v>5</v>
      </c>
    </row>
    <row r="1972" spans="1:2" x14ac:dyDescent="0.2">
      <c r="A1972" t="str">
        <f>"C1orf167"</f>
        <v>C1orf167</v>
      </c>
      <c r="B1972" t="s">
        <v>4</v>
      </c>
    </row>
    <row r="1973" spans="1:2" x14ac:dyDescent="0.2">
      <c r="A1973" t="str">
        <f>"C1orf168"</f>
        <v>C1orf168</v>
      </c>
      <c r="B1973" t="s">
        <v>4</v>
      </c>
    </row>
    <row r="1974" spans="1:2" x14ac:dyDescent="0.2">
      <c r="A1974" t="str">
        <f>"C1orf172"</f>
        <v>C1orf172</v>
      </c>
      <c r="B1974" t="s">
        <v>4</v>
      </c>
    </row>
    <row r="1975" spans="1:2" x14ac:dyDescent="0.2">
      <c r="A1975" t="str">
        <f>"C1orf173"</f>
        <v>C1orf173</v>
      </c>
      <c r="B1975" t="s">
        <v>4</v>
      </c>
    </row>
    <row r="1976" spans="1:2" x14ac:dyDescent="0.2">
      <c r="A1976" t="str">
        <f>"C1orf174"</f>
        <v>C1orf174</v>
      </c>
      <c r="B1976" t="s">
        <v>4</v>
      </c>
    </row>
    <row r="1977" spans="1:2" x14ac:dyDescent="0.2">
      <c r="A1977" t="str">
        <f>"C1orf177"</f>
        <v>C1orf177</v>
      </c>
      <c r="B1977" t="s">
        <v>4</v>
      </c>
    </row>
    <row r="1978" spans="1:2" x14ac:dyDescent="0.2">
      <c r="A1978" t="str">
        <f>"C1orf185"</f>
        <v>C1orf185</v>
      </c>
      <c r="B1978" t="s">
        <v>5</v>
      </c>
    </row>
    <row r="1979" spans="1:2" x14ac:dyDescent="0.2">
      <c r="A1979" t="str">
        <f>"C1orf186"</f>
        <v>C1orf186</v>
      </c>
      <c r="B1979" t="s">
        <v>5</v>
      </c>
    </row>
    <row r="1980" spans="1:2" x14ac:dyDescent="0.2">
      <c r="A1980" t="str">
        <f>"C1orf189"</f>
        <v>C1orf189</v>
      </c>
      <c r="B1980" t="s">
        <v>4</v>
      </c>
    </row>
    <row r="1981" spans="1:2" x14ac:dyDescent="0.2">
      <c r="A1981" t="str">
        <f>"C1orf192"</f>
        <v>C1orf192</v>
      </c>
      <c r="B1981" t="s">
        <v>4</v>
      </c>
    </row>
    <row r="1982" spans="1:2" x14ac:dyDescent="0.2">
      <c r="A1982" t="str">
        <f>"C1orf194"</f>
        <v>C1orf194</v>
      </c>
      <c r="B1982" t="s">
        <v>4</v>
      </c>
    </row>
    <row r="1983" spans="1:2" x14ac:dyDescent="0.2">
      <c r="A1983" t="str">
        <f>"C1orf195"</f>
        <v>C1orf195</v>
      </c>
      <c r="B1983" t="s">
        <v>4</v>
      </c>
    </row>
    <row r="1984" spans="1:2" x14ac:dyDescent="0.2">
      <c r="A1984" t="str">
        <f>"C1orf198"</f>
        <v>C1orf198</v>
      </c>
      <c r="B1984" t="s">
        <v>4</v>
      </c>
    </row>
    <row r="1985" spans="1:2" x14ac:dyDescent="0.2">
      <c r="A1985" t="str">
        <f>"C1orf204"</f>
        <v>C1orf204</v>
      </c>
      <c r="B1985" t="s">
        <v>4</v>
      </c>
    </row>
    <row r="1986" spans="1:2" x14ac:dyDescent="0.2">
      <c r="A1986" t="str">
        <f>"C1orf21"</f>
        <v>C1orf21</v>
      </c>
      <c r="B1986" t="s">
        <v>6</v>
      </c>
    </row>
    <row r="1987" spans="1:2" x14ac:dyDescent="0.2">
      <c r="A1987" t="str">
        <f>"C1orf210"</f>
        <v>C1orf210</v>
      </c>
      <c r="B1987" t="s">
        <v>5</v>
      </c>
    </row>
    <row r="1988" spans="1:2" x14ac:dyDescent="0.2">
      <c r="A1988" t="str">
        <f>"C1orf216"</f>
        <v>C1orf216</v>
      </c>
      <c r="B1988" t="s">
        <v>4</v>
      </c>
    </row>
    <row r="1989" spans="1:2" x14ac:dyDescent="0.2">
      <c r="A1989" t="str">
        <f>"C1orf222"</f>
        <v>C1orf222</v>
      </c>
      <c r="B1989" t="s">
        <v>4</v>
      </c>
    </row>
    <row r="1990" spans="1:2" x14ac:dyDescent="0.2">
      <c r="A1990" t="str">
        <f>"C1orf226"</f>
        <v>C1orf226</v>
      </c>
      <c r="B1990" t="s">
        <v>4</v>
      </c>
    </row>
    <row r="1991" spans="1:2" x14ac:dyDescent="0.2">
      <c r="A1991" t="str">
        <f>"C1orf227"</f>
        <v>C1orf227</v>
      </c>
      <c r="B1991" t="s">
        <v>4</v>
      </c>
    </row>
    <row r="1992" spans="1:2" x14ac:dyDescent="0.2">
      <c r="A1992" t="str">
        <f>"C1orf228"</f>
        <v>C1orf228</v>
      </c>
      <c r="B1992" t="s">
        <v>4</v>
      </c>
    </row>
    <row r="1993" spans="1:2" x14ac:dyDescent="0.2">
      <c r="A1993" t="str">
        <f>"C1orf229"</f>
        <v>C1orf229</v>
      </c>
      <c r="B1993" t="s">
        <v>4</v>
      </c>
    </row>
    <row r="1994" spans="1:2" x14ac:dyDescent="0.2">
      <c r="A1994" t="str">
        <f>"C1orf233"</f>
        <v>C1orf233</v>
      </c>
      <c r="B1994" t="s">
        <v>4</v>
      </c>
    </row>
    <row r="1995" spans="1:2" x14ac:dyDescent="0.2">
      <c r="A1995" t="str">
        <f>"C1orf234"</f>
        <v>C1orf234</v>
      </c>
      <c r="B1995" t="s">
        <v>4</v>
      </c>
    </row>
    <row r="1996" spans="1:2" x14ac:dyDescent="0.2">
      <c r="A1996" t="str">
        <f>"C1orf27"</f>
        <v>C1orf27</v>
      </c>
      <c r="B1996" t="s">
        <v>5</v>
      </c>
    </row>
    <row r="1997" spans="1:2" x14ac:dyDescent="0.2">
      <c r="A1997" t="str">
        <f>"C1orf35"</f>
        <v>C1orf35</v>
      </c>
      <c r="B1997" t="s">
        <v>4</v>
      </c>
    </row>
    <row r="1998" spans="1:2" x14ac:dyDescent="0.2">
      <c r="A1998" t="str">
        <f>"C1orf43"</f>
        <v>C1orf43</v>
      </c>
      <c r="B1998" t="s">
        <v>5</v>
      </c>
    </row>
    <row r="1999" spans="1:2" x14ac:dyDescent="0.2">
      <c r="A1999" t="str">
        <f>"C1orf50"</f>
        <v>C1orf50</v>
      </c>
      <c r="B1999" t="s">
        <v>5</v>
      </c>
    </row>
    <row r="2000" spans="1:2" x14ac:dyDescent="0.2">
      <c r="A2000" t="str">
        <f>"C1orf51"</f>
        <v>C1orf51</v>
      </c>
      <c r="B2000" t="s">
        <v>4</v>
      </c>
    </row>
    <row r="2001" spans="1:2" x14ac:dyDescent="0.2">
      <c r="A2001" t="str">
        <f>"C1orf52"</f>
        <v>C1orf52</v>
      </c>
      <c r="B2001" t="s">
        <v>4</v>
      </c>
    </row>
    <row r="2002" spans="1:2" x14ac:dyDescent="0.2">
      <c r="A2002" t="str">
        <f>"C1orf53"</f>
        <v>C1orf53</v>
      </c>
      <c r="B2002" t="s">
        <v>4</v>
      </c>
    </row>
    <row r="2003" spans="1:2" x14ac:dyDescent="0.2">
      <c r="A2003" t="str">
        <f>"C1orf54"</f>
        <v>C1orf54</v>
      </c>
      <c r="B2003" t="s">
        <v>4</v>
      </c>
    </row>
    <row r="2004" spans="1:2" x14ac:dyDescent="0.2">
      <c r="A2004" t="str">
        <f>"C1orf56"</f>
        <v>C1orf56</v>
      </c>
      <c r="B2004" t="s">
        <v>4</v>
      </c>
    </row>
    <row r="2005" spans="1:2" x14ac:dyDescent="0.2">
      <c r="A2005" t="str">
        <f>"C1orf61"</f>
        <v>C1orf61</v>
      </c>
      <c r="B2005" t="s">
        <v>5</v>
      </c>
    </row>
    <row r="2006" spans="1:2" x14ac:dyDescent="0.2">
      <c r="A2006" t="str">
        <f>"C1orf63"</f>
        <v>C1orf63</v>
      </c>
      <c r="B2006" t="s">
        <v>4</v>
      </c>
    </row>
    <row r="2007" spans="1:2" x14ac:dyDescent="0.2">
      <c r="A2007" t="str">
        <f>"C1orf64"</f>
        <v>C1orf64</v>
      </c>
      <c r="B2007" t="s">
        <v>3</v>
      </c>
    </row>
    <row r="2008" spans="1:2" x14ac:dyDescent="0.2">
      <c r="A2008" t="str">
        <f>"C1orf65"</f>
        <v>C1orf65</v>
      </c>
      <c r="B2008" t="s">
        <v>4</v>
      </c>
    </row>
    <row r="2009" spans="1:2" x14ac:dyDescent="0.2">
      <c r="A2009" t="str">
        <f>"C1orf68"</f>
        <v>C1orf68</v>
      </c>
      <c r="B2009" t="s">
        <v>4</v>
      </c>
    </row>
    <row r="2010" spans="1:2" x14ac:dyDescent="0.2">
      <c r="A2010" t="str">
        <f>"C1orf74"</f>
        <v>C1orf74</v>
      </c>
      <c r="B2010" t="s">
        <v>4</v>
      </c>
    </row>
    <row r="2011" spans="1:2" x14ac:dyDescent="0.2">
      <c r="A2011" t="str">
        <f>"C1orf85"</f>
        <v>C1orf85</v>
      </c>
      <c r="B2011" t="s">
        <v>2</v>
      </c>
    </row>
    <row r="2012" spans="1:2" x14ac:dyDescent="0.2">
      <c r="A2012" t="str">
        <f>"C1orf86"</f>
        <v>C1orf86</v>
      </c>
      <c r="B2012" t="s">
        <v>4</v>
      </c>
    </row>
    <row r="2013" spans="1:2" x14ac:dyDescent="0.2">
      <c r="A2013" t="str">
        <f>"C1orf87"</f>
        <v>C1orf87</v>
      </c>
      <c r="B2013" t="s">
        <v>4</v>
      </c>
    </row>
    <row r="2014" spans="1:2" x14ac:dyDescent="0.2">
      <c r="A2014" t="str">
        <f>"C1orf94"</f>
        <v>C1orf94</v>
      </c>
      <c r="B2014" t="s">
        <v>4</v>
      </c>
    </row>
    <row r="2015" spans="1:2" x14ac:dyDescent="0.2">
      <c r="A2015" t="str">
        <f>"C1orf95"</f>
        <v>C1orf95</v>
      </c>
      <c r="B2015" t="s">
        <v>5</v>
      </c>
    </row>
    <row r="2016" spans="1:2" x14ac:dyDescent="0.2">
      <c r="A2016" t="str">
        <f>"C2"</f>
        <v>C2</v>
      </c>
      <c r="B2016" t="s">
        <v>2</v>
      </c>
    </row>
    <row r="2017" spans="1:2" x14ac:dyDescent="0.2">
      <c r="A2017" t="str">
        <f>"C20orf112"</f>
        <v>C20orf112</v>
      </c>
      <c r="B2017" t="s">
        <v>4</v>
      </c>
    </row>
    <row r="2018" spans="1:2" x14ac:dyDescent="0.2">
      <c r="A2018" t="str">
        <f>"C20orf141"</f>
        <v>C20orf141</v>
      </c>
      <c r="B2018" t="s">
        <v>5</v>
      </c>
    </row>
    <row r="2019" spans="1:2" x14ac:dyDescent="0.2">
      <c r="A2019" t="str">
        <f>"C20orf144"</f>
        <v>C20orf144</v>
      </c>
      <c r="B2019" t="s">
        <v>4</v>
      </c>
    </row>
    <row r="2020" spans="1:2" x14ac:dyDescent="0.2">
      <c r="A2020" t="str">
        <f>"C20orf166"</f>
        <v>C20orf166</v>
      </c>
      <c r="B2020" t="s">
        <v>4</v>
      </c>
    </row>
    <row r="2021" spans="1:2" x14ac:dyDescent="0.2">
      <c r="A2021" t="str">
        <f>"C20orf173"</f>
        <v>C20orf173</v>
      </c>
      <c r="B2021" t="s">
        <v>5</v>
      </c>
    </row>
    <row r="2022" spans="1:2" x14ac:dyDescent="0.2">
      <c r="A2022" t="str">
        <f>"C20orf194"</f>
        <v>C20orf194</v>
      </c>
      <c r="B2022" t="s">
        <v>8</v>
      </c>
    </row>
    <row r="2023" spans="1:2" x14ac:dyDescent="0.2">
      <c r="A2023" t="str">
        <f>"C20orf195"</f>
        <v>C20orf195</v>
      </c>
      <c r="B2023" t="s">
        <v>4</v>
      </c>
    </row>
    <row r="2024" spans="1:2" x14ac:dyDescent="0.2">
      <c r="A2024" t="str">
        <f>"C20orf196"</f>
        <v>C20orf196</v>
      </c>
      <c r="B2024" t="s">
        <v>4</v>
      </c>
    </row>
    <row r="2025" spans="1:2" x14ac:dyDescent="0.2">
      <c r="A2025" t="str">
        <f>"C20orf197"</f>
        <v>C20orf197</v>
      </c>
      <c r="B2025" t="s">
        <v>6</v>
      </c>
    </row>
    <row r="2026" spans="1:2" x14ac:dyDescent="0.2">
      <c r="A2026" t="str">
        <f>"C20orf201"</f>
        <v>C20orf201</v>
      </c>
      <c r="B2026" t="s">
        <v>4</v>
      </c>
    </row>
    <row r="2027" spans="1:2" x14ac:dyDescent="0.2">
      <c r="A2027" t="str">
        <f>"C20orf202"</f>
        <v>C20orf202</v>
      </c>
      <c r="B2027" t="s">
        <v>4</v>
      </c>
    </row>
    <row r="2028" spans="1:2" x14ac:dyDescent="0.2">
      <c r="A2028" t="str">
        <f>"C20orf203"</f>
        <v>C20orf203</v>
      </c>
      <c r="B2028" t="s">
        <v>4</v>
      </c>
    </row>
    <row r="2029" spans="1:2" x14ac:dyDescent="0.2">
      <c r="A2029" t="str">
        <f>"C20orf24"</f>
        <v>C20orf24</v>
      </c>
      <c r="B2029" t="s">
        <v>6</v>
      </c>
    </row>
    <row r="2030" spans="1:2" x14ac:dyDescent="0.2">
      <c r="A2030" t="str">
        <f>"C20orf26"</f>
        <v>C20orf26</v>
      </c>
      <c r="B2030" t="s">
        <v>5</v>
      </c>
    </row>
    <row r="2031" spans="1:2" x14ac:dyDescent="0.2">
      <c r="A2031" t="str">
        <f>"C20orf27"</f>
        <v>C20orf27</v>
      </c>
      <c r="B2031" t="s">
        <v>4</v>
      </c>
    </row>
    <row r="2032" spans="1:2" x14ac:dyDescent="0.2">
      <c r="A2032" t="str">
        <f>"C20orf78"</f>
        <v>C20orf78</v>
      </c>
      <c r="B2032" t="s">
        <v>4</v>
      </c>
    </row>
    <row r="2033" spans="1:2" x14ac:dyDescent="0.2">
      <c r="A2033" t="str">
        <f>"C20orf85"</f>
        <v>C20orf85</v>
      </c>
      <c r="B2033" t="s">
        <v>4</v>
      </c>
    </row>
    <row r="2034" spans="1:2" x14ac:dyDescent="0.2">
      <c r="A2034" t="str">
        <f>"C20orf96"</f>
        <v>C20orf96</v>
      </c>
      <c r="B2034" t="s">
        <v>3</v>
      </c>
    </row>
    <row r="2035" spans="1:2" x14ac:dyDescent="0.2">
      <c r="A2035" t="str">
        <f>"C21orf2"</f>
        <v>C21orf2</v>
      </c>
      <c r="B2035" t="s">
        <v>4</v>
      </c>
    </row>
    <row r="2036" spans="1:2" x14ac:dyDescent="0.2">
      <c r="A2036" t="str">
        <f>"C21orf33"</f>
        <v>C21orf33</v>
      </c>
      <c r="B2036" t="s">
        <v>6</v>
      </c>
    </row>
    <row r="2037" spans="1:2" x14ac:dyDescent="0.2">
      <c r="A2037" t="str">
        <f>"C21orf58"</f>
        <v>C21orf58</v>
      </c>
      <c r="B2037" t="s">
        <v>4</v>
      </c>
    </row>
    <row r="2038" spans="1:2" x14ac:dyDescent="0.2">
      <c r="A2038" t="str">
        <f>"C21orf59"</f>
        <v>C21orf59</v>
      </c>
      <c r="B2038" t="s">
        <v>4</v>
      </c>
    </row>
    <row r="2039" spans="1:2" x14ac:dyDescent="0.2">
      <c r="A2039" t="str">
        <f>"C21orf62"</f>
        <v>C21orf62</v>
      </c>
      <c r="B2039" t="s">
        <v>4</v>
      </c>
    </row>
    <row r="2040" spans="1:2" x14ac:dyDescent="0.2">
      <c r="A2040" t="str">
        <f>"C21orf91"</f>
        <v>C21orf91</v>
      </c>
      <c r="B2040" t="s">
        <v>4</v>
      </c>
    </row>
    <row r="2041" spans="1:2" x14ac:dyDescent="0.2">
      <c r="A2041" t="str">
        <f>"C22orf15"</f>
        <v>C22orf15</v>
      </c>
      <c r="B2041" t="s">
        <v>4</v>
      </c>
    </row>
    <row r="2042" spans="1:2" x14ac:dyDescent="0.2">
      <c r="A2042" t="str">
        <f>"C22orf23"</f>
        <v>C22orf23</v>
      </c>
      <c r="B2042" t="s">
        <v>4</v>
      </c>
    </row>
    <row r="2043" spans="1:2" x14ac:dyDescent="0.2">
      <c r="A2043" t="str">
        <f>"C22orf24"</f>
        <v>C22orf24</v>
      </c>
      <c r="B2043" t="s">
        <v>4</v>
      </c>
    </row>
    <row r="2044" spans="1:2" x14ac:dyDescent="0.2">
      <c r="A2044" t="str">
        <f>"C22orf26"</f>
        <v>C22orf26</v>
      </c>
      <c r="B2044" t="s">
        <v>4</v>
      </c>
    </row>
    <row r="2045" spans="1:2" x14ac:dyDescent="0.2">
      <c r="A2045" t="str">
        <f>"C22orf29"</f>
        <v>C22orf29</v>
      </c>
      <c r="B2045" t="s">
        <v>3</v>
      </c>
    </row>
    <row r="2046" spans="1:2" x14ac:dyDescent="0.2">
      <c r="A2046" t="str">
        <f>"C22orf31"</f>
        <v>C22orf31</v>
      </c>
      <c r="B2046" t="s">
        <v>4</v>
      </c>
    </row>
    <row r="2047" spans="1:2" x14ac:dyDescent="0.2">
      <c r="A2047" t="str">
        <f>"C22orf39"</f>
        <v>C22orf39</v>
      </c>
      <c r="B2047" t="s">
        <v>4</v>
      </c>
    </row>
    <row r="2048" spans="1:2" x14ac:dyDescent="0.2">
      <c r="A2048" t="str">
        <f>"C22orf42"</f>
        <v>C22orf42</v>
      </c>
      <c r="B2048" t="s">
        <v>4</v>
      </c>
    </row>
    <row r="2049" spans="1:2" x14ac:dyDescent="0.2">
      <c r="A2049" t="str">
        <f>"C22orf43"</f>
        <v>C22orf43</v>
      </c>
      <c r="B2049" t="s">
        <v>4</v>
      </c>
    </row>
    <row r="2050" spans="1:2" x14ac:dyDescent="0.2">
      <c r="A2050" t="str">
        <f>"C22orf46"</f>
        <v>C22orf46</v>
      </c>
      <c r="B2050" t="s">
        <v>4</v>
      </c>
    </row>
    <row r="2051" spans="1:2" x14ac:dyDescent="0.2">
      <c r="A2051" t="str">
        <f>"C2CD2"</f>
        <v>C2CD2</v>
      </c>
      <c r="B2051" t="s">
        <v>4</v>
      </c>
    </row>
    <row r="2052" spans="1:2" x14ac:dyDescent="0.2">
      <c r="A2052" t="str">
        <f>"C2CD2L"</f>
        <v>C2CD2L</v>
      </c>
      <c r="B2052" t="s">
        <v>4</v>
      </c>
    </row>
    <row r="2053" spans="1:2" x14ac:dyDescent="0.2">
      <c r="A2053" t="str">
        <f>"C2CD3"</f>
        <v>C2CD3</v>
      </c>
      <c r="B2053" t="s">
        <v>4</v>
      </c>
    </row>
    <row r="2054" spans="1:2" x14ac:dyDescent="0.2">
      <c r="A2054" t="str">
        <f>"C2CD4A"</f>
        <v>C2CD4A</v>
      </c>
      <c r="B2054" t="s">
        <v>4</v>
      </c>
    </row>
    <row r="2055" spans="1:2" x14ac:dyDescent="0.2">
      <c r="A2055" t="str">
        <f>"C2CD4B"</f>
        <v>C2CD4B</v>
      </c>
      <c r="B2055" t="s">
        <v>3</v>
      </c>
    </row>
    <row r="2056" spans="1:2" x14ac:dyDescent="0.2">
      <c r="A2056" t="str">
        <f>"C2CD4C"</f>
        <v>C2CD4C</v>
      </c>
      <c r="B2056" t="s">
        <v>4</v>
      </c>
    </row>
    <row r="2057" spans="1:2" x14ac:dyDescent="0.2">
      <c r="A2057" t="str">
        <f>"C2CD4D"</f>
        <v>C2CD4D</v>
      </c>
      <c r="B2057" t="s">
        <v>4</v>
      </c>
    </row>
    <row r="2058" spans="1:2" x14ac:dyDescent="0.2">
      <c r="A2058" t="str">
        <f>"C2CD5"</f>
        <v>C2CD5</v>
      </c>
      <c r="B2058" t="s">
        <v>6</v>
      </c>
    </row>
    <row r="2059" spans="1:2" x14ac:dyDescent="0.2">
      <c r="A2059" t="str">
        <f>"C2orf15"</f>
        <v>C2orf15</v>
      </c>
      <c r="B2059" t="s">
        <v>4</v>
      </c>
    </row>
    <row r="2060" spans="1:2" x14ac:dyDescent="0.2">
      <c r="A2060" t="str">
        <f>"C2orf16"</f>
        <v>C2orf16</v>
      </c>
      <c r="B2060" t="s">
        <v>4</v>
      </c>
    </row>
    <row r="2061" spans="1:2" x14ac:dyDescent="0.2">
      <c r="A2061" t="str">
        <f>"C2orf27A"</f>
        <v>C2orf27A</v>
      </c>
      <c r="B2061" t="s">
        <v>4</v>
      </c>
    </row>
    <row r="2062" spans="1:2" x14ac:dyDescent="0.2">
      <c r="A2062" t="str">
        <f>"C2orf27B"</f>
        <v>C2orf27B</v>
      </c>
      <c r="B2062" t="s">
        <v>4</v>
      </c>
    </row>
    <row r="2063" spans="1:2" x14ac:dyDescent="0.2">
      <c r="A2063" t="str">
        <f>"C2orf40"</f>
        <v>C2orf40</v>
      </c>
      <c r="B2063" t="s">
        <v>4</v>
      </c>
    </row>
    <row r="2064" spans="1:2" x14ac:dyDescent="0.2">
      <c r="A2064" t="str">
        <f>"C2orf42"</f>
        <v>C2orf42</v>
      </c>
      <c r="B2064" t="s">
        <v>2</v>
      </c>
    </row>
    <row r="2065" spans="1:2" x14ac:dyDescent="0.2">
      <c r="A2065" t="str">
        <f>"C2orf43"</f>
        <v>C2orf43</v>
      </c>
      <c r="B2065" t="s">
        <v>6</v>
      </c>
    </row>
    <row r="2066" spans="1:2" x14ac:dyDescent="0.2">
      <c r="A2066" t="str">
        <f>"C2orf44"</f>
        <v>C2orf44</v>
      </c>
      <c r="B2066" t="s">
        <v>4</v>
      </c>
    </row>
    <row r="2067" spans="1:2" x14ac:dyDescent="0.2">
      <c r="A2067" t="str">
        <f>"C2orf47"</f>
        <v>C2orf47</v>
      </c>
      <c r="B2067" t="s">
        <v>6</v>
      </c>
    </row>
    <row r="2068" spans="1:2" x14ac:dyDescent="0.2">
      <c r="A2068" t="str">
        <f>"C2orf48"</f>
        <v>C2orf48</v>
      </c>
      <c r="B2068" t="s">
        <v>4</v>
      </c>
    </row>
    <row r="2069" spans="1:2" x14ac:dyDescent="0.2">
      <c r="A2069" t="str">
        <f>"C2orf49"</f>
        <v>C2orf49</v>
      </c>
      <c r="B2069" t="s">
        <v>4</v>
      </c>
    </row>
    <row r="2070" spans="1:2" x14ac:dyDescent="0.2">
      <c r="A2070" t="str">
        <f>"C2orf50"</f>
        <v>C2orf50</v>
      </c>
      <c r="B2070" t="s">
        <v>4</v>
      </c>
    </row>
    <row r="2071" spans="1:2" x14ac:dyDescent="0.2">
      <c r="A2071" t="str">
        <f>"C2orf53"</f>
        <v>C2orf53</v>
      </c>
      <c r="B2071" t="s">
        <v>4</v>
      </c>
    </row>
    <row r="2072" spans="1:2" x14ac:dyDescent="0.2">
      <c r="A2072" t="str">
        <f>"C2orf54"</f>
        <v>C2orf54</v>
      </c>
      <c r="B2072" t="s">
        <v>4</v>
      </c>
    </row>
    <row r="2073" spans="1:2" x14ac:dyDescent="0.2">
      <c r="A2073" t="str">
        <f>"C2orf57"</f>
        <v>C2orf57</v>
      </c>
      <c r="B2073" t="s">
        <v>4</v>
      </c>
    </row>
    <row r="2074" spans="1:2" x14ac:dyDescent="0.2">
      <c r="A2074" t="str">
        <f>"C2orf61"</f>
        <v>C2orf61</v>
      </c>
      <c r="B2074" t="s">
        <v>4</v>
      </c>
    </row>
    <row r="2075" spans="1:2" x14ac:dyDescent="0.2">
      <c r="A2075" t="str">
        <f>"C2orf62"</f>
        <v>C2orf62</v>
      </c>
      <c r="B2075" t="s">
        <v>4</v>
      </c>
    </row>
    <row r="2076" spans="1:2" x14ac:dyDescent="0.2">
      <c r="A2076" t="str">
        <f>"C2orf66"</f>
        <v>C2orf66</v>
      </c>
      <c r="B2076" t="s">
        <v>4</v>
      </c>
    </row>
    <row r="2077" spans="1:2" x14ac:dyDescent="0.2">
      <c r="A2077" t="str">
        <f>"C2orf68"</f>
        <v>C2orf68</v>
      </c>
      <c r="B2077" t="s">
        <v>4</v>
      </c>
    </row>
    <row r="2078" spans="1:2" x14ac:dyDescent="0.2">
      <c r="A2078" t="str">
        <f>"C2orf69"</f>
        <v>C2orf69</v>
      </c>
      <c r="B2078" t="s">
        <v>4</v>
      </c>
    </row>
    <row r="2079" spans="1:2" x14ac:dyDescent="0.2">
      <c r="A2079" t="str">
        <f>"C2orf70"</f>
        <v>C2orf70</v>
      </c>
      <c r="B2079" t="s">
        <v>4</v>
      </c>
    </row>
    <row r="2080" spans="1:2" x14ac:dyDescent="0.2">
      <c r="A2080" t="str">
        <f>"C2orf71"</f>
        <v>C2orf71</v>
      </c>
      <c r="B2080" t="s">
        <v>4</v>
      </c>
    </row>
    <row r="2081" spans="1:2" x14ac:dyDescent="0.2">
      <c r="A2081" t="str">
        <f>"C2orf72"</f>
        <v>C2orf72</v>
      </c>
      <c r="B2081" t="s">
        <v>4</v>
      </c>
    </row>
    <row r="2082" spans="1:2" x14ac:dyDescent="0.2">
      <c r="A2082" t="str">
        <f>"C2orf73"</f>
        <v>C2orf73</v>
      </c>
      <c r="B2082" t="s">
        <v>4</v>
      </c>
    </row>
    <row r="2083" spans="1:2" x14ac:dyDescent="0.2">
      <c r="A2083" t="str">
        <f>"C2orf74"</f>
        <v>C2orf74</v>
      </c>
      <c r="B2083" t="s">
        <v>4</v>
      </c>
    </row>
    <row r="2084" spans="1:2" x14ac:dyDescent="0.2">
      <c r="A2084" t="str">
        <f>"C2orf76"</f>
        <v>C2orf76</v>
      </c>
      <c r="B2084" t="s">
        <v>2</v>
      </c>
    </row>
    <row r="2085" spans="1:2" x14ac:dyDescent="0.2">
      <c r="A2085" t="str">
        <f>"C2orf78"</f>
        <v>C2orf78</v>
      </c>
      <c r="B2085" t="s">
        <v>4</v>
      </c>
    </row>
    <row r="2086" spans="1:2" x14ac:dyDescent="0.2">
      <c r="A2086" t="str">
        <f>"C2orf80"</f>
        <v>C2orf80</v>
      </c>
      <c r="B2086" t="s">
        <v>4</v>
      </c>
    </row>
    <row r="2087" spans="1:2" x14ac:dyDescent="0.2">
      <c r="A2087" t="str">
        <f>"C2orf81"</f>
        <v>C2orf81</v>
      </c>
      <c r="B2087" t="s">
        <v>4</v>
      </c>
    </row>
    <row r="2088" spans="1:2" x14ac:dyDescent="0.2">
      <c r="A2088" t="str">
        <f>"C2orf82"</f>
        <v>C2orf82</v>
      </c>
      <c r="B2088" t="s">
        <v>5</v>
      </c>
    </row>
    <row r="2089" spans="1:2" x14ac:dyDescent="0.2">
      <c r="A2089" t="str">
        <f>"C2orf83"</f>
        <v>C2orf83</v>
      </c>
      <c r="B2089" t="s">
        <v>4</v>
      </c>
    </row>
    <row r="2090" spans="1:2" x14ac:dyDescent="0.2">
      <c r="A2090" t="str">
        <f>"C2orf88"</f>
        <v>C2orf88</v>
      </c>
      <c r="B2090" t="s">
        <v>4</v>
      </c>
    </row>
    <row r="2091" spans="1:2" x14ac:dyDescent="0.2">
      <c r="A2091" t="str">
        <f>"C2orf91"</f>
        <v>C2orf91</v>
      </c>
      <c r="B2091" t="s">
        <v>4</v>
      </c>
    </row>
    <row r="2092" spans="1:2" x14ac:dyDescent="0.2">
      <c r="A2092" t="str">
        <f>"C3"</f>
        <v>C3</v>
      </c>
      <c r="B2092" t="s">
        <v>7</v>
      </c>
    </row>
    <row r="2093" spans="1:2" x14ac:dyDescent="0.2">
      <c r="A2093" t="str">
        <f>"C3AR1"</f>
        <v>C3AR1</v>
      </c>
      <c r="B2093" t="s">
        <v>5</v>
      </c>
    </row>
    <row r="2094" spans="1:2" x14ac:dyDescent="0.2">
      <c r="A2094" t="str">
        <f>"C3orf14"</f>
        <v>C3orf14</v>
      </c>
      <c r="B2094" t="s">
        <v>3</v>
      </c>
    </row>
    <row r="2095" spans="1:2" x14ac:dyDescent="0.2">
      <c r="A2095" t="str">
        <f>"C3orf17"</f>
        <v>C3orf17</v>
      </c>
      <c r="B2095" t="s">
        <v>5</v>
      </c>
    </row>
    <row r="2096" spans="1:2" x14ac:dyDescent="0.2">
      <c r="A2096" t="str">
        <f>"C3orf18"</f>
        <v>C3orf18</v>
      </c>
      <c r="B2096" t="s">
        <v>5</v>
      </c>
    </row>
    <row r="2097" spans="1:2" x14ac:dyDescent="0.2">
      <c r="A2097" t="str">
        <f>"C3orf20"</f>
        <v>C3orf20</v>
      </c>
      <c r="B2097" t="s">
        <v>4</v>
      </c>
    </row>
    <row r="2098" spans="1:2" x14ac:dyDescent="0.2">
      <c r="A2098" t="str">
        <f>"C3orf22"</f>
        <v>C3orf22</v>
      </c>
      <c r="B2098" t="s">
        <v>4</v>
      </c>
    </row>
    <row r="2099" spans="1:2" x14ac:dyDescent="0.2">
      <c r="A2099" t="str">
        <f>"C3orf27"</f>
        <v>C3orf27</v>
      </c>
      <c r="B2099" t="s">
        <v>4</v>
      </c>
    </row>
    <row r="2100" spans="1:2" x14ac:dyDescent="0.2">
      <c r="A2100" t="str">
        <f>"C3orf30"</f>
        <v>C3orf30</v>
      </c>
      <c r="B2100" t="s">
        <v>4</v>
      </c>
    </row>
    <row r="2101" spans="1:2" x14ac:dyDescent="0.2">
      <c r="A2101" t="str">
        <f>"C3orf33"</f>
        <v>C3orf33</v>
      </c>
      <c r="B2101" t="s">
        <v>4</v>
      </c>
    </row>
    <row r="2102" spans="1:2" x14ac:dyDescent="0.2">
      <c r="A2102" t="str">
        <f>"C3orf35"</f>
        <v>C3orf35</v>
      </c>
      <c r="B2102" t="s">
        <v>5</v>
      </c>
    </row>
    <row r="2103" spans="1:2" x14ac:dyDescent="0.2">
      <c r="A2103" t="str">
        <f>"C3orf36"</f>
        <v>C3orf36</v>
      </c>
      <c r="B2103" t="s">
        <v>4</v>
      </c>
    </row>
    <row r="2104" spans="1:2" x14ac:dyDescent="0.2">
      <c r="A2104" t="str">
        <f>"C3orf38"</f>
        <v>C3orf38</v>
      </c>
      <c r="B2104" t="s">
        <v>2</v>
      </c>
    </row>
    <row r="2105" spans="1:2" x14ac:dyDescent="0.2">
      <c r="A2105" t="str">
        <f>"C3orf52"</f>
        <v>C3orf52</v>
      </c>
      <c r="B2105" t="s">
        <v>6</v>
      </c>
    </row>
    <row r="2106" spans="1:2" x14ac:dyDescent="0.2">
      <c r="A2106" t="str">
        <f>"C3orf55"</f>
        <v>C3orf55</v>
      </c>
      <c r="B2106" t="s">
        <v>4</v>
      </c>
    </row>
    <row r="2107" spans="1:2" x14ac:dyDescent="0.2">
      <c r="A2107" t="str">
        <f>"C3orf56"</f>
        <v>C3orf56</v>
      </c>
      <c r="B2107" t="s">
        <v>4</v>
      </c>
    </row>
    <row r="2108" spans="1:2" x14ac:dyDescent="0.2">
      <c r="A2108" t="str">
        <f>"C3orf58"</f>
        <v>C3orf58</v>
      </c>
      <c r="B2108" t="s">
        <v>2</v>
      </c>
    </row>
    <row r="2109" spans="1:2" x14ac:dyDescent="0.2">
      <c r="A2109" t="str">
        <f>"C3orf62"</f>
        <v>C3orf62</v>
      </c>
      <c r="B2109" t="s">
        <v>4</v>
      </c>
    </row>
    <row r="2110" spans="1:2" x14ac:dyDescent="0.2">
      <c r="A2110" t="str">
        <f>"C3orf67"</f>
        <v>C3orf67</v>
      </c>
      <c r="B2110" t="s">
        <v>4</v>
      </c>
    </row>
    <row r="2111" spans="1:2" x14ac:dyDescent="0.2">
      <c r="A2111" t="str">
        <f>"C3orf70"</f>
        <v>C3orf70</v>
      </c>
      <c r="B2111" t="s">
        <v>4</v>
      </c>
    </row>
    <row r="2112" spans="1:2" x14ac:dyDescent="0.2">
      <c r="A2112" t="str">
        <f>"C3orf72"</f>
        <v>C3orf72</v>
      </c>
      <c r="B2112" t="s">
        <v>4</v>
      </c>
    </row>
    <row r="2113" spans="1:2" x14ac:dyDescent="0.2">
      <c r="A2113" t="str">
        <f>"C3orf79"</f>
        <v>C3orf79</v>
      </c>
      <c r="B2113" t="s">
        <v>4</v>
      </c>
    </row>
    <row r="2114" spans="1:2" x14ac:dyDescent="0.2">
      <c r="A2114" t="str">
        <f>"C3orf80"</f>
        <v>C3orf80</v>
      </c>
      <c r="B2114" t="s">
        <v>4</v>
      </c>
    </row>
    <row r="2115" spans="1:2" x14ac:dyDescent="0.2">
      <c r="A2115" t="str">
        <f>"C3orf83"</f>
        <v>C3orf83</v>
      </c>
      <c r="B2115" t="s">
        <v>4</v>
      </c>
    </row>
    <row r="2116" spans="1:2" x14ac:dyDescent="0.2">
      <c r="A2116" t="str">
        <f>"C3orf84"</f>
        <v>C3orf84</v>
      </c>
      <c r="B2116" t="s">
        <v>4</v>
      </c>
    </row>
    <row r="2117" spans="1:2" x14ac:dyDescent="0.2">
      <c r="A2117" t="str">
        <f>"C4A"</f>
        <v>C4A</v>
      </c>
      <c r="B2117" t="s">
        <v>7</v>
      </c>
    </row>
    <row r="2118" spans="1:2" x14ac:dyDescent="0.2">
      <c r="A2118" t="str">
        <f>"C4B"</f>
        <v>C4B</v>
      </c>
      <c r="B2118" t="s">
        <v>7</v>
      </c>
    </row>
    <row r="2119" spans="1:2" x14ac:dyDescent="0.2">
      <c r="A2119" t="str">
        <f>"C4BPA"</f>
        <v>C4BPA</v>
      </c>
      <c r="B2119" t="s">
        <v>6</v>
      </c>
    </row>
    <row r="2120" spans="1:2" x14ac:dyDescent="0.2">
      <c r="A2120" t="str">
        <f>"C4BPB"</f>
        <v>C4BPB</v>
      </c>
      <c r="B2120" t="s">
        <v>4</v>
      </c>
    </row>
    <row r="2121" spans="1:2" x14ac:dyDescent="0.2">
      <c r="A2121" t="str">
        <f>"C4B_2"</f>
        <v>C4B_2</v>
      </c>
      <c r="B2121" t="s">
        <v>4</v>
      </c>
    </row>
    <row r="2122" spans="1:2" x14ac:dyDescent="0.2">
      <c r="A2122" t="str">
        <f>"C4orf17"</f>
        <v>C4orf17</v>
      </c>
      <c r="B2122" t="s">
        <v>4</v>
      </c>
    </row>
    <row r="2123" spans="1:2" x14ac:dyDescent="0.2">
      <c r="A2123" t="str">
        <f>"C4orf19"</f>
        <v>C4orf19</v>
      </c>
      <c r="B2123" t="s">
        <v>4</v>
      </c>
    </row>
    <row r="2124" spans="1:2" x14ac:dyDescent="0.2">
      <c r="A2124" t="str">
        <f>"C4orf21"</f>
        <v>C4orf21</v>
      </c>
      <c r="B2124" t="s">
        <v>4</v>
      </c>
    </row>
    <row r="2125" spans="1:2" x14ac:dyDescent="0.2">
      <c r="A2125" t="str">
        <f>"C4orf22"</f>
        <v>C4orf22</v>
      </c>
      <c r="B2125" t="s">
        <v>4</v>
      </c>
    </row>
    <row r="2126" spans="1:2" x14ac:dyDescent="0.2">
      <c r="A2126" t="str">
        <f>"C4orf26"</f>
        <v>C4orf26</v>
      </c>
      <c r="B2126" t="s">
        <v>4</v>
      </c>
    </row>
    <row r="2127" spans="1:2" x14ac:dyDescent="0.2">
      <c r="A2127" t="str">
        <f>"C4orf27"</f>
        <v>C4orf27</v>
      </c>
      <c r="B2127" t="s">
        <v>4</v>
      </c>
    </row>
    <row r="2128" spans="1:2" x14ac:dyDescent="0.2">
      <c r="A2128" t="str">
        <f>"C4orf29"</f>
        <v>C4orf29</v>
      </c>
      <c r="B2128" t="s">
        <v>4</v>
      </c>
    </row>
    <row r="2129" spans="1:2" x14ac:dyDescent="0.2">
      <c r="A2129" t="str">
        <f>"C4orf3"</f>
        <v>C4orf3</v>
      </c>
      <c r="B2129" t="s">
        <v>5</v>
      </c>
    </row>
    <row r="2130" spans="1:2" x14ac:dyDescent="0.2">
      <c r="A2130" t="str">
        <f>"C4orf32"</f>
        <v>C4orf32</v>
      </c>
      <c r="B2130" t="s">
        <v>5</v>
      </c>
    </row>
    <row r="2131" spans="1:2" x14ac:dyDescent="0.2">
      <c r="A2131" t="str">
        <f>"C4orf33"</f>
        <v>C4orf33</v>
      </c>
      <c r="B2131" t="s">
        <v>4</v>
      </c>
    </row>
    <row r="2132" spans="1:2" x14ac:dyDescent="0.2">
      <c r="A2132" t="str">
        <f>"C4orf36"</f>
        <v>C4orf36</v>
      </c>
      <c r="B2132" t="s">
        <v>4</v>
      </c>
    </row>
    <row r="2133" spans="1:2" x14ac:dyDescent="0.2">
      <c r="A2133" t="str">
        <f>"C4orf40"</f>
        <v>C4orf40</v>
      </c>
      <c r="B2133" t="s">
        <v>4</v>
      </c>
    </row>
    <row r="2134" spans="1:2" x14ac:dyDescent="0.2">
      <c r="A2134" t="str">
        <f>"C4orf45"</f>
        <v>C4orf45</v>
      </c>
      <c r="B2134" t="s">
        <v>4</v>
      </c>
    </row>
    <row r="2135" spans="1:2" x14ac:dyDescent="0.2">
      <c r="A2135" t="str">
        <f>"C4orf46"</f>
        <v>C4orf46</v>
      </c>
      <c r="B2135" t="s">
        <v>4</v>
      </c>
    </row>
    <row r="2136" spans="1:2" x14ac:dyDescent="0.2">
      <c r="A2136" t="str">
        <f>"C4orf47"</f>
        <v>C4orf47</v>
      </c>
      <c r="B2136" t="s">
        <v>4</v>
      </c>
    </row>
    <row r="2137" spans="1:2" x14ac:dyDescent="0.2">
      <c r="A2137" t="str">
        <f>"C4orf48"</f>
        <v>C4orf48</v>
      </c>
      <c r="B2137" t="s">
        <v>4</v>
      </c>
    </row>
    <row r="2138" spans="1:2" x14ac:dyDescent="0.2">
      <c r="A2138" t="str">
        <f>"C4orf50"</f>
        <v>C4orf50</v>
      </c>
      <c r="B2138" t="s">
        <v>4</v>
      </c>
    </row>
    <row r="2139" spans="1:2" x14ac:dyDescent="0.2">
      <c r="A2139" t="str">
        <f>"C4orf51"</f>
        <v>C4orf51</v>
      </c>
      <c r="B2139" t="s">
        <v>4</v>
      </c>
    </row>
    <row r="2140" spans="1:2" x14ac:dyDescent="0.2">
      <c r="A2140" t="str">
        <f>"C4orf6"</f>
        <v>C4orf6</v>
      </c>
      <c r="B2140" t="s">
        <v>4</v>
      </c>
    </row>
    <row r="2141" spans="1:2" x14ac:dyDescent="0.2">
      <c r="A2141" t="str">
        <f>"C5"</f>
        <v>C5</v>
      </c>
      <c r="B2141" t="s">
        <v>7</v>
      </c>
    </row>
    <row r="2142" spans="1:2" x14ac:dyDescent="0.2">
      <c r="A2142" t="str">
        <f>"C5AR1"</f>
        <v>C5AR1</v>
      </c>
      <c r="B2142" t="s">
        <v>5</v>
      </c>
    </row>
    <row r="2143" spans="1:2" x14ac:dyDescent="0.2">
      <c r="A2143" t="str">
        <f>"C5AR2"</f>
        <v>C5AR2</v>
      </c>
      <c r="B2143" t="s">
        <v>5</v>
      </c>
    </row>
    <row r="2144" spans="1:2" x14ac:dyDescent="0.2">
      <c r="A2144" t="str">
        <f>"C5orf15"</f>
        <v>C5orf15</v>
      </c>
      <c r="B2144" t="s">
        <v>2</v>
      </c>
    </row>
    <row r="2145" spans="1:2" x14ac:dyDescent="0.2">
      <c r="A2145" t="str">
        <f>"C5orf17"</f>
        <v>C5orf17</v>
      </c>
      <c r="B2145" t="s">
        <v>4</v>
      </c>
    </row>
    <row r="2146" spans="1:2" x14ac:dyDescent="0.2">
      <c r="A2146" t="str">
        <f>"C5orf20"</f>
        <v>C5orf20</v>
      </c>
      <c r="B2146" t="s">
        <v>4</v>
      </c>
    </row>
    <row r="2147" spans="1:2" x14ac:dyDescent="0.2">
      <c r="A2147" t="str">
        <f>"C5orf22"</f>
        <v>C5orf22</v>
      </c>
      <c r="B2147" t="s">
        <v>4</v>
      </c>
    </row>
    <row r="2148" spans="1:2" x14ac:dyDescent="0.2">
      <c r="A2148" t="str">
        <f>"C5orf24"</f>
        <v>C5orf24</v>
      </c>
      <c r="B2148" t="s">
        <v>4</v>
      </c>
    </row>
    <row r="2149" spans="1:2" x14ac:dyDescent="0.2">
      <c r="A2149" t="str">
        <f>"C5orf28"</f>
        <v>C5orf28</v>
      </c>
      <c r="B2149" t="s">
        <v>5</v>
      </c>
    </row>
    <row r="2150" spans="1:2" x14ac:dyDescent="0.2">
      <c r="A2150" t="str">
        <f>"C5orf30"</f>
        <v>C5orf30</v>
      </c>
      <c r="B2150" t="s">
        <v>4</v>
      </c>
    </row>
    <row r="2151" spans="1:2" x14ac:dyDescent="0.2">
      <c r="A2151" t="str">
        <f>"C5orf34"</f>
        <v>C5orf34</v>
      </c>
      <c r="B2151" t="s">
        <v>4</v>
      </c>
    </row>
    <row r="2152" spans="1:2" x14ac:dyDescent="0.2">
      <c r="A2152" t="str">
        <f>"C5orf38"</f>
        <v>C5orf38</v>
      </c>
      <c r="B2152" t="s">
        <v>4</v>
      </c>
    </row>
    <row r="2153" spans="1:2" x14ac:dyDescent="0.2">
      <c r="A2153" t="str">
        <f>"C5orf42"</f>
        <v>C5orf42</v>
      </c>
      <c r="B2153" t="s">
        <v>5</v>
      </c>
    </row>
    <row r="2154" spans="1:2" x14ac:dyDescent="0.2">
      <c r="A2154" t="str">
        <f>"C5orf45"</f>
        <v>C5orf45</v>
      </c>
      <c r="B2154" t="s">
        <v>4</v>
      </c>
    </row>
    <row r="2155" spans="1:2" x14ac:dyDescent="0.2">
      <c r="A2155" t="str">
        <f>"C5orf46"</f>
        <v>C5orf46</v>
      </c>
      <c r="B2155" t="s">
        <v>4</v>
      </c>
    </row>
    <row r="2156" spans="1:2" x14ac:dyDescent="0.2">
      <c r="A2156" t="str">
        <f>"C5orf47"</f>
        <v>C5orf47</v>
      </c>
      <c r="B2156" t="s">
        <v>4</v>
      </c>
    </row>
    <row r="2157" spans="1:2" x14ac:dyDescent="0.2">
      <c r="A2157" t="str">
        <f>"C5orf48"</f>
        <v>C5orf48</v>
      </c>
      <c r="B2157" t="s">
        <v>4</v>
      </c>
    </row>
    <row r="2158" spans="1:2" x14ac:dyDescent="0.2">
      <c r="A2158" t="str">
        <f>"C5orf49"</f>
        <v>C5orf49</v>
      </c>
      <c r="B2158" t="s">
        <v>4</v>
      </c>
    </row>
    <row r="2159" spans="1:2" x14ac:dyDescent="0.2">
      <c r="A2159" t="str">
        <f>"C5orf50"</f>
        <v>C5orf50</v>
      </c>
      <c r="B2159" t="s">
        <v>4</v>
      </c>
    </row>
    <row r="2160" spans="1:2" x14ac:dyDescent="0.2">
      <c r="A2160" t="str">
        <f>"C5orf51"</f>
        <v>C5orf51</v>
      </c>
      <c r="B2160" t="s">
        <v>8</v>
      </c>
    </row>
    <row r="2161" spans="1:2" x14ac:dyDescent="0.2">
      <c r="A2161" t="str">
        <f>"C5orf52"</f>
        <v>C5orf52</v>
      </c>
      <c r="B2161" t="s">
        <v>4</v>
      </c>
    </row>
    <row r="2162" spans="1:2" x14ac:dyDescent="0.2">
      <c r="A2162" t="str">
        <f>"C5orf54"</f>
        <v>C5orf54</v>
      </c>
      <c r="B2162" t="s">
        <v>4</v>
      </c>
    </row>
    <row r="2163" spans="1:2" x14ac:dyDescent="0.2">
      <c r="A2163" t="str">
        <f>"C5orf55"</f>
        <v>C5orf55</v>
      </c>
      <c r="B2163" t="s">
        <v>4</v>
      </c>
    </row>
    <row r="2164" spans="1:2" x14ac:dyDescent="0.2">
      <c r="A2164" t="str">
        <f>"C5orf58"</f>
        <v>C5orf58</v>
      </c>
      <c r="B2164" t="s">
        <v>4</v>
      </c>
    </row>
    <row r="2165" spans="1:2" x14ac:dyDescent="0.2">
      <c r="A2165" t="str">
        <f>"C5orf60"</f>
        <v>C5orf60</v>
      </c>
      <c r="B2165" t="s">
        <v>5</v>
      </c>
    </row>
    <row r="2166" spans="1:2" x14ac:dyDescent="0.2">
      <c r="A2166" t="str">
        <f>"C5orf63"</f>
        <v>C5orf63</v>
      </c>
      <c r="B2166" t="s">
        <v>6</v>
      </c>
    </row>
    <row r="2167" spans="1:2" x14ac:dyDescent="0.2">
      <c r="A2167" t="str">
        <f>"C5orf64"</f>
        <v>C5orf64</v>
      </c>
      <c r="B2167" t="s">
        <v>4</v>
      </c>
    </row>
    <row r="2168" spans="1:2" x14ac:dyDescent="0.2">
      <c r="A2168" t="str">
        <f>"C6"</f>
        <v>C6</v>
      </c>
      <c r="B2168" t="s">
        <v>6</v>
      </c>
    </row>
    <row r="2169" spans="1:2" x14ac:dyDescent="0.2">
      <c r="A2169" t="str">
        <f>"C6orf1"</f>
        <v>C6orf1</v>
      </c>
      <c r="B2169" t="s">
        <v>4</v>
      </c>
    </row>
    <row r="2170" spans="1:2" x14ac:dyDescent="0.2">
      <c r="A2170" t="str">
        <f>"C6orf10"</f>
        <v>C6orf10</v>
      </c>
      <c r="B2170" t="s">
        <v>5</v>
      </c>
    </row>
    <row r="2171" spans="1:2" x14ac:dyDescent="0.2">
      <c r="A2171" t="str">
        <f>"C6orf106"</f>
        <v>C6orf106</v>
      </c>
      <c r="B2171" t="s">
        <v>4</v>
      </c>
    </row>
    <row r="2172" spans="1:2" x14ac:dyDescent="0.2">
      <c r="A2172" t="str">
        <f>"C6orf118"</f>
        <v>C6orf118</v>
      </c>
      <c r="B2172" t="s">
        <v>4</v>
      </c>
    </row>
    <row r="2173" spans="1:2" x14ac:dyDescent="0.2">
      <c r="A2173" t="str">
        <f>"C6orf120"</f>
        <v>C6orf120</v>
      </c>
      <c r="B2173" t="s">
        <v>4</v>
      </c>
    </row>
    <row r="2174" spans="1:2" x14ac:dyDescent="0.2">
      <c r="A2174" t="str">
        <f>"C6orf132"</f>
        <v>C6orf132</v>
      </c>
      <c r="B2174" t="s">
        <v>4</v>
      </c>
    </row>
    <row r="2175" spans="1:2" x14ac:dyDescent="0.2">
      <c r="A2175" t="str">
        <f>"C6orf136"</f>
        <v>C6orf136</v>
      </c>
      <c r="B2175" t="s">
        <v>6</v>
      </c>
    </row>
    <row r="2176" spans="1:2" x14ac:dyDescent="0.2">
      <c r="A2176" t="str">
        <f>"C6orf141"</f>
        <v>C6orf141</v>
      </c>
      <c r="B2176" t="s">
        <v>4</v>
      </c>
    </row>
    <row r="2177" spans="1:2" x14ac:dyDescent="0.2">
      <c r="A2177" t="str">
        <f>"C6orf15"</f>
        <v>C6orf15</v>
      </c>
      <c r="B2177" t="s">
        <v>3</v>
      </c>
    </row>
    <row r="2178" spans="1:2" x14ac:dyDescent="0.2">
      <c r="A2178" t="str">
        <f>"C6orf163"</f>
        <v>C6orf163</v>
      </c>
      <c r="B2178" t="s">
        <v>4</v>
      </c>
    </row>
    <row r="2179" spans="1:2" x14ac:dyDescent="0.2">
      <c r="A2179" t="str">
        <f>"C6orf165"</f>
        <v>C6orf165</v>
      </c>
      <c r="B2179" t="s">
        <v>4</v>
      </c>
    </row>
    <row r="2180" spans="1:2" x14ac:dyDescent="0.2">
      <c r="A2180" t="str">
        <f>"C6orf183"</f>
        <v>C6orf183</v>
      </c>
      <c r="B2180" t="s">
        <v>5</v>
      </c>
    </row>
    <row r="2181" spans="1:2" x14ac:dyDescent="0.2">
      <c r="A2181" t="str">
        <f>"C6orf195"</f>
        <v>C6orf195</v>
      </c>
      <c r="B2181" t="s">
        <v>4</v>
      </c>
    </row>
    <row r="2182" spans="1:2" x14ac:dyDescent="0.2">
      <c r="A2182" t="str">
        <f>"C6orf201"</f>
        <v>C6orf201</v>
      </c>
      <c r="B2182" t="s">
        <v>8</v>
      </c>
    </row>
    <row r="2183" spans="1:2" x14ac:dyDescent="0.2">
      <c r="A2183" t="str">
        <f>"C6orf203"</f>
        <v>C6orf203</v>
      </c>
      <c r="B2183" t="s">
        <v>6</v>
      </c>
    </row>
    <row r="2184" spans="1:2" x14ac:dyDescent="0.2">
      <c r="A2184" t="str">
        <f>"C6orf211"</f>
        <v>C6orf211</v>
      </c>
      <c r="B2184" t="s">
        <v>4</v>
      </c>
    </row>
    <row r="2185" spans="1:2" x14ac:dyDescent="0.2">
      <c r="A2185" t="str">
        <f>"C6orf222"</f>
        <v>C6orf222</v>
      </c>
      <c r="B2185" t="s">
        <v>4</v>
      </c>
    </row>
    <row r="2186" spans="1:2" x14ac:dyDescent="0.2">
      <c r="A2186" t="str">
        <f>"C6orf223"</f>
        <v>C6orf223</v>
      </c>
      <c r="B2186" t="s">
        <v>4</v>
      </c>
    </row>
    <row r="2187" spans="1:2" x14ac:dyDescent="0.2">
      <c r="A2187" t="str">
        <f>"C6orf226"</f>
        <v>C6orf226</v>
      </c>
      <c r="B2187" t="s">
        <v>4</v>
      </c>
    </row>
    <row r="2188" spans="1:2" x14ac:dyDescent="0.2">
      <c r="A2188" t="str">
        <f>"C6orf25"</f>
        <v>C6orf25</v>
      </c>
      <c r="B2188" t="s">
        <v>6</v>
      </c>
    </row>
    <row r="2189" spans="1:2" x14ac:dyDescent="0.2">
      <c r="A2189" t="str">
        <f>"C6orf47"</f>
        <v>C6orf47</v>
      </c>
      <c r="B2189" t="s">
        <v>5</v>
      </c>
    </row>
    <row r="2190" spans="1:2" x14ac:dyDescent="0.2">
      <c r="A2190" t="str">
        <f>"C6orf48"</f>
        <v>C6orf48</v>
      </c>
      <c r="B2190" t="s">
        <v>4</v>
      </c>
    </row>
    <row r="2191" spans="1:2" x14ac:dyDescent="0.2">
      <c r="A2191" t="str">
        <f>"C6orf52"</f>
        <v>C6orf52</v>
      </c>
      <c r="B2191" t="s">
        <v>4</v>
      </c>
    </row>
    <row r="2192" spans="1:2" x14ac:dyDescent="0.2">
      <c r="A2192" t="str">
        <f>"C6orf57"</f>
        <v>C6orf57</v>
      </c>
      <c r="B2192" t="s">
        <v>6</v>
      </c>
    </row>
    <row r="2193" spans="1:2" x14ac:dyDescent="0.2">
      <c r="A2193" t="str">
        <f>"C6orf58"</f>
        <v>C6orf58</v>
      </c>
      <c r="B2193" t="s">
        <v>2</v>
      </c>
    </row>
    <row r="2194" spans="1:2" x14ac:dyDescent="0.2">
      <c r="A2194" t="str">
        <f>"C6orf62"</f>
        <v>C6orf62</v>
      </c>
      <c r="B2194" t="s">
        <v>4</v>
      </c>
    </row>
    <row r="2195" spans="1:2" x14ac:dyDescent="0.2">
      <c r="A2195" t="str">
        <f>"C6orf7"</f>
        <v>C6orf7</v>
      </c>
      <c r="B2195" t="s">
        <v>4</v>
      </c>
    </row>
    <row r="2196" spans="1:2" x14ac:dyDescent="0.2">
      <c r="A2196" t="str">
        <f>"C6orf89"</f>
        <v>C6orf89</v>
      </c>
      <c r="B2196" t="s">
        <v>5</v>
      </c>
    </row>
    <row r="2197" spans="1:2" x14ac:dyDescent="0.2">
      <c r="A2197" t="str">
        <f>"C6orf99"</f>
        <v>C6orf99</v>
      </c>
      <c r="B2197" t="s">
        <v>4</v>
      </c>
    </row>
    <row r="2198" spans="1:2" x14ac:dyDescent="0.2">
      <c r="A2198" t="str">
        <f>"C7"</f>
        <v>C7</v>
      </c>
      <c r="B2198" t="s">
        <v>3</v>
      </c>
    </row>
    <row r="2199" spans="1:2" x14ac:dyDescent="0.2">
      <c r="A2199" t="str">
        <f>"C7orf10"</f>
        <v>C7orf10</v>
      </c>
      <c r="B2199" t="s">
        <v>6</v>
      </c>
    </row>
    <row r="2200" spans="1:2" x14ac:dyDescent="0.2">
      <c r="A2200" t="str">
        <f>"C7orf25"</f>
        <v>C7orf25</v>
      </c>
      <c r="B2200" t="s">
        <v>2</v>
      </c>
    </row>
    <row r="2201" spans="1:2" x14ac:dyDescent="0.2">
      <c r="A2201" t="str">
        <f>"C7orf26"</f>
        <v>C7orf26</v>
      </c>
      <c r="B2201" t="s">
        <v>3</v>
      </c>
    </row>
    <row r="2202" spans="1:2" x14ac:dyDescent="0.2">
      <c r="A2202" t="str">
        <f>"C7orf31"</f>
        <v>C7orf31</v>
      </c>
      <c r="B2202" t="s">
        <v>3</v>
      </c>
    </row>
    <row r="2203" spans="1:2" x14ac:dyDescent="0.2">
      <c r="A2203" t="str">
        <f>"C7orf33"</f>
        <v>C7orf33</v>
      </c>
      <c r="B2203" t="s">
        <v>4</v>
      </c>
    </row>
    <row r="2204" spans="1:2" x14ac:dyDescent="0.2">
      <c r="A2204" t="str">
        <f>"C7orf34"</f>
        <v>C7orf34</v>
      </c>
      <c r="B2204" t="s">
        <v>4</v>
      </c>
    </row>
    <row r="2205" spans="1:2" x14ac:dyDescent="0.2">
      <c r="A2205" t="str">
        <f>"C7orf41"</f>
        <v>C7orf41</v>
      </c>
      <c r="B2205" t="s">
        <v>4</v>
      </c>
    </row>
    <row r="2206" spans="1:2" x14ac:dyDescent="0.2">
      <c r="A2206" t="str">
        <f>"C7orf43"</f>
        <v>C7orf43</v>
      </c>
      <c r="B2206" t="s">
        <v>3</v>
      </c>
    </row>
    <row r="2207" spans="1:2" x14ac:dyDescent="0.2">
      <c r="A2207" t="str">
        <f>"C7orf49"</f>
        <v>C7orf49</v>
      </c>
      <c r="B2207" t="s">
        <v>4</v>
      </c>
    </row>
    <row r="2208" spans="1:2" x14ac:dyDescent="0.2">
      <c r="A2208" t="str">
        <f>"C7orf50"</f>
        <v>C7orf50</v>
      </c>
      <c r="B2208" t="s">
        <v>3</v>
      </c>
    </row>
    <row r="2209" spans="1:2" x14ac:dyDescent="0.2">
      <c r="A2209" t="str">
        <f>"C7orf55"</f>
        <v>C7orf55</v>
      </c>
      <c r="B2209" t="s">
        <v>2</v>
      </c>
    </row>
    <row r="2210" spans="1:2" x14ac:dyDescent="0.2">
      <c r="A2210" t="str">
        <f>"C7orf55-LUC7L2"</f>
        <v>C7orf55-LUC7L2</v>
      </c>
      <c r="B2210" t="s">
        <v>4</v>
      </c>
    </row>
    <row r="2211" spans="1:2" x14ac:dyDescent="0.2">
      <c r="A2211" t="str">
        <f>"C7orf57"</f>
        <v>C7orf57</v>
      </c>
      <c r="B2211" t="s">
        <v>4</v>
      </c>
    </row>
    <row r="2212" spans="1:2" x14ac:dyDescent="0.2">
      <c r="A2212" t="str">
        <f>"C7orf60"</f>
        <v>C7orf60</v>
      </c>
      <c r="B2212" t="s">
        <v>4</v>
      </c>
    </row>
    <row r="2213" spans="1:2" x14ac:dyDescent="0.2">
      <c r="A2213" t="str">
        <f>"C7orf61"</f>
        <v>C7orf61</v>
      </c>
      <c r="B2213" t="s">
        <v>4</v>
      </c>
    </row>
    <row r="2214" spans="1:2" x14ac:dyDescent="0.2">
      <c r="A2214" t="str">
        <f>"C7orf62"</f>
        <v>C7orf62</v>
      </c>
      <c r="B2214" t="s">
        <v>4</v>
      </c>
    </row>
    <row r="2215" spans="1:2" x14ac:dyDescent="0.2">
      <c r="A2215" t="str">
        <f>"C7orf63"</f>
        <v>C7orf63</v>
      </c>
      <c r="B2215" t="s">
        <v>4</v>
      </c>
    </row>
    <row r="2216" spans="1:2" x14ac:dyDescent="0.2">
      <c r="A2216" t="str">
        <f>"C7orf65"</f>
        <v>C7orf65</v>
      </c>
      <c r="B2216" t="s">
        <v>4</v>
      </c>
    </row>
    <row r="2217" spans="1:2" x14ac:dyDescent="0.2">
      <c r="A2217" t="str">
        <f>"C7orf66"</f>
        <v>C7orf66</v>
      </c>
      <c r="B2217" t="s">
        <v>5</v>
      </c>
    </row>
    <row r="2218" spans="1:2" x14ac:dyDescent="0.2">
      <c r="A2218" t="str">
        <f>"C7orf69"</f>
        <v>C7orf69</v>
      </c>
      <c r="B2218" t="s">
        <v>4</v>
      </c>
    </row>
    <row r="2219" spans="1:2" x14ac:dyDescent="0.2">
      <c r="A2219" t="str">
        <f>"C7orf71"</f>
        <v>C7orf71</v>
      </c>
      <c r="B2219" t="s">
        <v>4</v>
      </c>
    </row>
    <row r="2220" spans="1:2" x14ac:dyDescent="0.2">
      <c r="A2220" t="str">
        <f>"C7orf72"</f>
        <v>C7orf72</v>
      </c>
      <c r="B2220" t="s">
        <v>4</v>
      </c>
    </row>
    <row r="2221" spans="1:2" x14ac:dyDescent="0.2">
      <c r="A2221" t="str">
        <f>"C7orf73"</f>
        <v>C7orf73</v>
      </c>
      <c r="B2221" t="s">
        <v>4</v>
      </c>
    </row>
    <row r="2222" spans="1:2" x14ac:dyDescent="0.2">
      <c r="A2222" t="str">
        <f>"C7orf76"</f>
        <v>C7orf76</v>
      </c>
      <c r="B2222" t="s">
        <v>4</v>
      </c>
    </row>
    <row r="2223" spans="1:2" x14ac:dyDescent="0.2">
      <c r="A2223" t="str">
        <f>"C8A"</f>
        <v>C8A</v>
      </c>
      <c r="B2223" t="s">
        <v>6</v>
      </c>
    </row>
    <row r="2224" spans="1:2" x14ac:dyDescent="0.2">
      <c r="A2224" t="str">
        <f>"C8B"</f>
        <v>C8B</v>
      </c>
      <c r="B2224" t="s">
        <v>6</v>
      </c>
    </row>
    <row r="2225" spans="1:2" x14ac:dyDescent="0.2">
      <c r="A2225" t="str">
        <f>"C8G"</f>
        <v>C8G</v>
      </c>
      <c r="B2225" t="s">
        <v>7</v>
      </c>
    </row>
    <row r="2226" spans="1:2" x14ac:dyDescent="0.2">
      <c r="A2226" t="str">
        <f>"C8orf22"</f>
        <v>C8orf22</v>
      </c>
      <c r="B2226" t="s">
        <v>4</v>
      </c>
    </row>
    <row r="2227" spans="1:2" x14ac:dyDescent="0.2">
      <c r="A2227" t="str">
        <f>"C8orf31"</f>
        <v>C8orf31</v>
      </c>
      <c r="B2227" t="s">
        <v>4</v>
      </c>
    </row>
    <row r="2228" spans="1:2" x14ac:dyDescent="0.2">
      <c r="A2228" t="str">
        <f>"C8orf33"</f>
        <v>C8orf33</v>
      </c>
      <c r="B2228" t="s">
        <v>4</v>
      </c>
    </row>
    <row r="2229" spans="1:2" x14ac:dyDescent="0.2">
      <c r="A2229" t="str">
        <f>"C8orf34"</f>
        <v>C8orf34</v>
      </c>
      <c r="B2229" t="s">
        <v>4</v>
      </c>
    </row>
    <row r="2230" spans="1:2" x14ac:dyDescent="0.2">
      <c r="A2230" t="str">
        <f>"C8orf37"</f>
        <v>C8orf37</v>
      </c>
      <c r="B2230" t="s">
        <v>4</v>
      </c>
    </row>
    <row r="2231" spans="1:2" x14ac:dyDescent="0.2">
      <c r="A2231" t="str">
        <f>"C8orf4"</f>
        <v>C8orf4</v>
      </c>
      <c r="B2231" t="s">
        <v>4</v>
      </c>
    </row>
    <row r="2232" spans="1:2" x14ac:dyDescent="0.2">
      <c r="A2232" t="str">
        <f>"C8orf44"</f>
        <v>C8orf44</v>
      </c>
      <c r="B2232" t="s">
        <v>4</v>
      </c>
    </row>
    <row r="2233" spans="1:2" x14ac:dyDescent="0.2">
      <c r="A2233" t="str">
        <f>"C8orf44-SGK3"</f>
        <v>C8orf44-SGK3</v>
      </c>
      <c r="B2233" t="s">
        <v>4</v>
      </c>
    </row>
    <row r="2234" spans="1:2" x14ac:dyDescent="0.2">
      <c r="A2234" t="str">
        <f>"C8orf46"</f>
        <v>C8orf46</v>
      </c>
      <c r="B2234" t="s">
        <v>4</v>
      </c>
    </row>
    <row r="2235" spans="1:2" x14ac:dyDescent="0.2">
      <c r="A2235" t="str">
        <f>"C8orf47"</f>
        <v>C8orf47</v>
      </c>
      <c r="B2235" t="s">
        <v>4</v>
      </c>
    </row>
    <row r="2236" spans="1:2" x14ac:dyDescent="0.2">
      <c r="A2236" t="str">
        <f>"C8orf48"</f>
        <v>C8orf48</v>
      </c>
      <c r="B2236" t="s">
        <v>4</v>
      </c>
    </row>
    <row r="2237" spans="1:2" x14ac:dyDescent="0.2">
      <c r="A2237" t="str">
        <f>"C8orf58"</f>
        <v>C8orf58</v>
      </c>
      <c r="B2237" t="s">
        <v>4</v>
      </c>
    </row>
    <row r="2238" spans="1:2" x14ac:dyDescent="0.2">
      <c r="A2238" t="str">
        <f>"C8orf59"</f>
        <v>C8orf59</v>
      </c>
      <c r="B2238" t="s">
        <v>4</v>
      </c>
    </row>
    <row r="2239" spans="1:2" x14ac:dyDescent="0.2">
      <c r="A2239" t="str">
        <f>"C8orf74"</f>
        <v>C8orf74</v>
      </c>
      <c r="B2239" t="s">
        <v>4</v>
      </c>
    </row>
    <row r="2240" spans="1:2" x14ac:dyDescent="0.2">
      <c r="A2240" t="str">
        <f>"C8orf76"</f>
        <v>C8orf76</v>
      </c>
      <c r="B2240" t="s">
        <v>4</v>
      </c>
    </row>
    <row r="2241" spans="1:2" x14ac:dyDescent="0.2">
      <c r="A2241" t="str">
        <f>"C8orf82"</f>
        <v>C8orf82</v>
      </c>
      <c r="B2241" t="s">
        <v>6</v>
      </c>
    </row>
    <row r="2242" spans="1:2" x14ac:dyDescent="0.2">
      <c r="A2242" t="str">
        <f>"C8orf86"</f>
        <v>C8orf86</v>
      </c>
      <c r="B2242" t="s">
        <v>4</v>
      </c>
    </row>
    <row r="2243" spans="1:2" x14ac:dyDescent="0.2">
      <c r="A2243" t="str">
        <f>"C8orf87"</f>
        <v>C8orf87</v>
      </c>
      <c r="B2243" t="s">
        <v>4</v>
      </c>
    </row>
    <row r="2244" spans="1:2" x14ac:dyDescent="0.2">
      <c r="A2244" t="str">
        <f>"C9"</f>
        <v>C9</v>
      </c>
      <c r="B2244" t="s">
        <v>6</v>
      </c>
    </row>
    <row r="2245" spans="1:2" x14ac:dyDescent="0.2">
      <c r="A2245" t="str">
        <f>"C9orf106"</f>
        <v>C9orf106</v>
      </c>
      <c r="B2245" t="s">
        <v>4</v>
      </c>
    </row>
    <row r="2246" spans="1:2" x14ac:dyDescent="0.2">
      <c r="A2246" t="str">
        <f>"C9orf114"</f>
        <v>C9orf114</v>
      </c>
      <c r="B2246" t="s">
        <v>4</v>
      </c>
    </row>
    <row r="2247" spans="1:2" x14ac:dyDescent="0.2">
      <c r="A2247" t="str">
        <f>"C9orf116"</f>
        <v>C9orf116</v>
      </c>
      <c r="B2247" t="s">
        <v>4</v>
      </c>
    </row>
    <row r="2248" spans="1:2" x14ac:dyDescent="0.2">
      <c r="A2248" t="str">
        <f>"C9orf117"</f>
        <v>C9orf117</v>
      </c>
      <c r="B2248" t="s">
        <v>4</v>
      </c>
    </row>
    <row r="2249" spans="1:2" x14ac:dyDescent="0.2">
      <c r="A2249" t="str">
        <f>"C9orf129"</f>
        <v>C9orf129</v>
      </c>
      <c r="B2249" t="s">
        <v>4</v>
      </c>
    </row>
    <row r="2250" spans="1:2" x14ac:dyDescent="0.2">
      <c r="A2250" t="str">
        <f>"C9orf131"</f>
        <v>C9orf131</v>
      </c>
      <c r="B2250" t="s">
        <v>4</v>
      </c>
    </row>
    <row r="2251" spans="1:2" x14ac:dyDescent="0.2">
      <c r="A2251" t="str">
        <f>"C9orf135"</f>
        <v>C9orf135</v>
      </c>
      <c r="B2251" t="s">
        <v>4</v>
      </c>
    </row>
    <row r="2252" spans="1:2" x14ac:dyDescent="0.2">
      <c r="A2252" t="str">
        <f>"C9orf139"</f>
        <v>C9orf139</v>
      </c>
      <c r="B2252" t="s">
        <v>4</v>
      </c>
    </row>
    <row r="2253" spans="1:2" x14ac:dyDescent="0.2">
      <c r="A2253" t="str">
        <f>"C9orf142"</f>
        <v>C9orf142</v>
      </c>
      <c r="B2253" t="s">
        <v>4</v>
      </c>
    </row>
    <row r="2254" spans="1:2" x14ac:dyDescent="0.2">
      <c r="A2254" t="str">
        <f>"C9orf152"</f>
        <v>C9orf152</v>
      </c>
      <c r="B2254" t="s">
        <v>4</v>
      </c>
    </row>
    <row r="2255" spans="1:2" x14ac:dyDescent="0.2">
      <c r="A2255" t="str">
        <f>"C9orf153"</f>
        <v>C9orf153</v>
      </c>
      <c r="B2255" t="s">
        <v>4</v>
      </c>
    </row>
    <row r="2256" spans="1:2" x14ac:dyDescent="0.2">
      <c r="A2256" t="str">
        <f>"C9orf156"</f>
        <v>C9orf156</v>
      </c>
      <c r="B2256" t="s">
        <v>4</v>
      </c>
    </row>
    <row r="2257" spans="1:2" x14ac:dyDescent="0.2">
      <c r="A2257" t="str">
        <f>"C9orf16"</f>
        <v>C9orf16</v>
      </c>
      <c r="B2257" t="s">
        <v>4</v>
      </c>
    </row>
    <row r="2258" spans="1:2" x14ac:dyDescent="0.2">
      <c r="A2258" t="str">
        <f>"C9orf163"</f>
        <v>C9orf163</v>
      </c>
      <c r="B2258" t="s">
        <v>4</v>
      </c>
    </row>
    <row r="2259" spans="1:2" x14ac:dyDescent="0.2">
      <c r="A2259" t="str">
        <f>"C9orf169"</f>
        <v>C9orf169</v>
      </c>
      <c r="B2259" t="s">
        <v>4</v>
      </c>
    </row>
    <row r="2260" spans="1:2" x14ac:dyDescent="0.2">
      <c r="A2260" t="str">
        <f>"C9orf170"</f>
        <v>C9orf170</v>
      </c>
      <c r="B2260" t="s">
        <v>4</v>
      </c>
    </row>
    <row r="2261" spans="1:2" x14ac:dyDescent="0.2">
      <c r="A2261" t="str">
        <f>"C9orf171"</f>
        <v>C9orf171</v>
      </c>
      <c r="B2261" t="s">
        <v>4</v>
      </c>
    </row>
    <row r="2262" spans="1:2" x14ac:dyDescent="0.2">
      <c r="A2262" t="str">
        <f>"C9orf172"</f>
        <v>C9orf172</v>
      </c>
      <c r="B2262" t="s">
        <v>4</v>
      </c>
    </row>
    <row r="2263" spans="1:2" x14ac:dyDescent="0.2">
      <c r="A2263" t="str">
        <f>"C9orf173"</f>
        <v>C9orf173</v>
      </c>
      <c r="B2263" t="s">
        <v>4</v>
      </c>
    </row>
    <row r="2264" spans="1:2" x14ac:dyDescent="0.2">
      <c r="A2264" t="str">
        <f>"C9orf24"</f>
        <v>C9orf24</v>
      </c>
      <c r="B2264" t="s">
        <v>4</v>
      </c>
    </row>
    <row r="2265" spans="1:2" x14ac:dyDescent="0.2">
      <c r="A2265" t="str">
        <f>"C9orf3"</f>
        <v>C9orf3</v>
      </c>
      <c r="B2265" t="s">
        <v>2</v>
      </c>
    </row>
    <row r="2266" spans="1:2" x14ac:dyDescent="0.2">
      <c r="A2266" t="str">
        <f>"C9orf37"</f>
        <v>C9orf37</v>
      </c>
      <c r="B2266" t="s">
        <v>4</v>
      </c>
    </row>
    <row r="2267" spans="1:2" x14ac:dyDescent="0.2">
      <c r="A2267" t="str">
        <f>"C9orf40"</f>
        <v>C9orf40</v>
      </c>
      <c r="B2267" t="s">
        <v>4</v>
      </c>
    </row>
    <row r="2268" spans="1:2" x14ac:dyDescent="0.2">
      <c r="A2268" t="str">
        <f>"C9orf41"</f>
        <v>C9orf41</v>
      </c>
      <c r="B2268" t="s">
        <v>4</v>
      </c>
    </row>
    <row r="2269" spans="1:2" x14ac:dyDescent="0.2">
      <c r="A2269" t="str">
        <f>"C9orf43"</f>
        <v>C9orf43</v>
      </c>
      <c r="B2269" t="s">
        <v>8</v>
      </c>
    </row>
    <row r="2270" spans="1:2" x14ac:dyDescent="0.2">
      <c r="A2270" t="str">
        <f>"C9orf47"</f>
        <v>C9orf47</v>
      </c>
      <c r="B2270" t="s">
        <v>4</v>
      </c>
    </row>
    <row r="2271" spans="1:2" x14ac:dyDescent="0.2">
      <c r="A2271" t="str">
        <f>"C9orf50"</f>
        <v>C9orf50</v>
      </c>
      <c r="B2271" t="s">
        <v>4</v>
      </c>
    </row>
    <row r="2272" spans="1:2" x14ac:dyDescent="0.2">
      <c r="A2272" t="str">
        <f>"C9orf57"</f>
        <v>C9orf57</v>
      </c>
      <c r="B2272" t="s">
        <v>5</v>
      </c>
    </row>
    <row r="2273" spans="1:2" x14ac:dyDescent="0.2">
      <c r="A2273" t="str">
        <f>"C9orf62"</f>
        <v>C9orf62</v>
      </c>
      <c r="B2273" t="s">
        <v>4</v>
      </c>
    </row>
    <row r="2274" spans="1:2" x14ac:dyDescent="0.2">
      <c r="A2274" t="str">
        <f>"C9orf64"</f>
        <v>C9orf64</v>
      </c>
      <c r="B2274" t="s">
        <v>4</v>
      </c>
    </row>
    <row r="2275" spans="1:2" x14ac:dyDescent="0.2">
      <c r="A2275" t="str">
        <f>"C9orf66"</f>
        <v>C9orf66</v>
      </c>
      <c r="B2275" t="s">
        <v>4</v>
      </c>
    </row>
    <row r="2276" spans="1:2" x14ac:dyDescent="0.2">
      <c r="A2276" t="str">
        <f>"C9orf69"</f>
        <v>C9orf69</v>
      </c>
      <c r="B2276" t="s">
        <v>4</v>
      </c>
    </row>
    <row r="2277" spans="1:2" x14ac:dyDescent="0.2">
      <c r="A2277" t="str">
        <f>"C9orf72"</f>
        <v>C9orf72</v>
      </c>
      <c r="B2277" t="s">
        <v>4</v>
      </c>
    </row>
    <row r="2278" spans="1:2" x14ac:dyDescent="0.2">
      <c r="A2278" t="str">
        <f>"C9orf78"</f>
        <v>C9orf78</v>
      </c>
      <c r="B2278" t="s">
        <v>4</v>
      </c>
    </row>
    <row r="2279" spans="1:2" x14ac:dyDescent="0.2">
      <c r="A2279" t="str">
        <f>"C9orf84"</f>
        <v>C9orf84</v>
      </c>
      <c r="B2279" t="s">
        <v>4</v>
      </c>
    </row>
    <row r="2280" spans="1:2" x14ac:dyDescent="0.2">
      <c r="A2280" t="str">
        <f>"C9orf85"</f>
        <v>C9orf85</v>
      </c>
      <c r="B2280" t="s">
        <v>4</v>
      </c>
    </row>
    <row r="2281" spans="1:2" x14ac:dyDescent="0.2">
      <c r="A2281" t="str">
        <f>"C9orf89"</f>
        <v>C9orf89</v>
      </c>
      <c r="B2281" t="s">
        <v>5</v>
      </c>
    </row>
    <row r="2282" spans="1:2" x14ac:dyDescent="0.2">
      <c r="A2282" t="str">
        <f>"C9orf9"</f>
        <v>C9orf9</v>
      </c>
      <c r="B2282" t="s">
        <v>4</v>
      </c>
    </row>
    <row r="2283" spans="1:2" x14ac:dyDescent="0.2">
      <c r="A2283" t="str">
        <f>"C9orf91"</f>
        <v>C9orf91</v>
      </c>
      <c r="B2283" t="s">
        <v>6</v>
      </c>
    </row>
    <row r="2284" spans="1:2" x14ac:dyDescent="0.2">
      <c r="A2284" t="str">
        <f>"C9orf92"</f>
        <v>C9orf92</v>
      </c>
      <c r="B2284" t="s">
        <v>5</v>
      </c>
    </row>
    <row r="2285" spans="1:2" x14ac:dyDescent="0.2">
      <c r="A2285" t="str">
        <f>"C9orf96"</f>
        <v>C9orf96</v>
      </c>
      <c r="B2285" t="s">
        <v>7</v>
      </c>
    </row>
    <row r="2286" spans="1:2" x14ac:dyDescent="0.2">
      <c r="A2286" t="str">
        <f>"CA1"</f>
        <v>CA1</v>
      </c>
      <c r="B2286" t="s">
        <v>7</v>
      </c>
    </row>
    <row r="2287" spans="1:2" x14ac:dyDescent="0.2">
      <c r="A2287" t="str">
        <f>"CA10"</f>
        <v>CA10</v>
      </c>
      <c r="B2287" t="s">
        <v>7</v>
      </c>
    </row>
    <row r="2288" spans="1:2" x14ac:dyDescent="0.2">
      <c r="A2288" t="str">
        <f>"CA11"</f>
        <v>CA11</v>
      </c>
      <c r="B2288" t="s">
        <v>7</v>
      </c>
    </row>
    <row r="2289" spans="1:2" x14ac:dyDescent="0.2">
      <c r="A2289" t="str">
        <f>"CA12"</f>
        <v>CA12</v>
      </c>
      <c r="B2289" t="s">
        <v>7</v>
      </c>
    </row>
    <row r="2290" spans="1:2" x14ac:dyDescent="0.2">
      <c r="A2290" t="str">
        <f>"CA13"</f>
        <v>CA13</v>
      </c>
      <c r="B2290" t="s">
        <v>7</v>
      </c>
    </row>
    <row r="2291" spans="1:2" x14ac:dyDescent="0.2">
      <c r="A2291" t="str">
        <f>"CA14"</f>
        <v>CA14</v>
      </c>
      <c r="B2291" t="s">
        <v>7</v>
      </c>
    </row>
    <row r="2292" spans="1:2" x14ac:dyDescent="0.2">
      <c r="A2292" t="str">
        <f>"CA2"</f>
        <v>CA2</v>
      </c>
      <c r="B2292" t="s">
        <v>7</v>
      </c>
    </row>
    <row r="2293" spans="1:2" x14ac:dyDescent="0.2">
      <c r="A2293" t="str">
        <f>"CA3"</f>
        <v>CA3</v>
      </c>
      <c r="B2293" t="s">
        <v>7</v>
      </c>
    </row>
    <row r="2294" spans="1:2" x14ac:dyDescent="0.2">
      <c r="A2294" t="str">
        <f>"CA4"</f>
        <v>CA4</v>
      </c>
      <c r="B2294" t="s">
        <v>7</v>
      </c>
    </row>
    <row r="2295" spans="1:2" x14ac:dyDescent="0.2">
      <c r="A2295" t="str">
        <f>"CA5A"</f>
        <v>CA5A</v>
      </c>
      <c r="B2295" t="s">
        <v>7</v>
      </c>
    </row>
    <row r="2296" spans="1:2" x14ac:dyDescent="0.2">
      <c r="A2296" t="str">
        <f>"CA5B"</f>
        <v>CA5B</v>
      </c>
      <c r="B2296" t="s">
        <v>7</v>
      </c>
    </row>
    <row r="2297" spans="1:2" x14ac:dyDescent="0.2">
      <c r="A2297" t="str">
        <f>"CA6"</f>
        <v>CA6</v>
      </c>
      <c r="B2297" t="s">
        <v>7</v>
      </c>
    </row>
    <row r="2298" spans="1:2" x14ac:dyDescent="0.2">
      <c r="A2298" t="str">
        <f>"CA7"</f>
        <v>CA7</v>
      </c>
      <c r="B2298" t="s">
        <v>7</v>
      </c>
    </row>
    <row r="2299" spans="1:2" x14ac:dyDescent="0.2">
      <c r="A2299" t="str">
        <f>"CA8"</f>
        <v>CA8</v>
      </c>
      <c r="B2299" t="s">
        <v>7</v>
      </c>
    </row>
    <row r="2300" spans="1:2" x14ac:dyDescent="0.2">
      <c r="A2300" t="str">
        <f>"CA9"</f>
        <v>CA9</v>
      </c>
      <c r="B2300" t="s">
        <v>7</v>
      </c>
    </row>
    <row r="2301" spans="1:2" x14ac:dyDescent="0.2">
      <c r="A2301" t="str">
        <f>"CAAP1"</f>
        <v>CAAP1</v>
      </c>
      <c r="B2301" t="s">
        <v>4</v>
      </c>
    </row>
    <row r="2302" spans="1:2" x14ac:dyDescent="0.2">
      <c r="A2302" t="str">
        <f>"CAB39"</f>
        <v>CAB39</v>
      </c>
      <c r="B2302" t="s">
        <v>3</v>
      </c>
    </row>
    <row r="2303" spans="1:2" x14ac:dyDescent="0.2">
      <c r="A2303" t="str">
        <f>"CAB39L"</f>
        <v>CAB39L</v>
      </c>
      <c r="B2303" t="s">
        <v>4</v>
      </c>
    </row>
    <row r="2304" spans="1:2" x14ac:dyDescent="0.2">
      <c r="A2304" t="str">
        <f>"CABIN1"</f>
        <v>CABIN1</v>
      </c>
      <c r="B2304" t="s">
        <v>2</v>
      </c>
    </row>
    <row r="2305" spans="1:2" x14ac:dyDescent="0.2">
      <c r="A2305" t="str">
        <f>"CABLES1"</f>
        <v>CABLES1</v>
      </c>
      <c r="B2305" t="s">
        <v>3</v>
      </c>
    </row>
    <row r="2306" spans="1:2" x14ac:dyDescent="0.2">
      <c r="A2306" t="str">
        <f>"CABLES2"</f>
        <v>CABLES2</v>
      </c>
      <c r="B2306" t="s">
        <v>3</v>
      </c>
    </row>
    <row r="2307" spans="1:2" x14ac:dyDescent="0.2">
      <c r="A2307" t="str">
        <f>"CABP1"</f>
        <v>CABP1</v>
      </c>
      <c r="B2307" t="s">
        <v>6</v>
      </c>
    </row>
    <row r="2308" spans="1:2" x14ac:dyDescent="0.2">
      <c r="A2308" t="str">
        <f>"CABP2"</f>
        <v>CABP2</v>
      </c>
      <c r="B2308" t="s">
        <v>4</v>
      </c>
    </row>
    <row r="2309" spans="1:2" x14ac:dyDescent="0.2">
      <c r="A2309" t="str">
        <f>"CABP4"</f>
        <v>CABP4</v>
      </c>
      <c r="B2309" t="s">
        <v>4</v>
      </c>
    </row>
    <row r="2310" spans="1:2" x14ac:dyDescent="0.2">
      <c r="A2310" t="str">
        <f>"CABP5"</f>
        <v>CABP5</v>
      </c>
      <c r="B2310" t="s">
        <v>4</v>
      </c>
    </row>
    <row r="2311" spans="1:2" x14ac:dyDescent="0.2">
      <c r="A2311" t="str">
        <f>"CABP7"</f>
        <v>CABP7</v>
      </c>
      <c r="B2311" t="s">
        <v>5</v>
      </c>
    </row>
    <row r="2312" spans="1:2" x14ac:dyDescent="0.2">
      <c r="A2312" t="str">
        <f>"CABS1"</f>
        <v>CABS1</v>
      </c>
      <c r="B2312" t="s">
        <v>6</v>
      </c>
    </row>
    <row r="2313" spans="1:2" x14ac:dyDescent="0.2">
      <c r="A2313" t="str">
        <f>"CABYR"</f>
        <v>CABYR</v>
      </c>
      <c r="B2313" t="s">
        <v>2</v>
      </c>
    </row>
    <row r="2314" spans="1:2" x14ac:dyDescent="0.2">
      <c r="A2314" t="str">
        <f>"CACFD1"</f>
        <v>CACFD1</v>
      </c>
      <c r="B2314" t="s">
        <v>6</v>
      </c>
    </row>
    <row r="2315" spans="1:2" x14ac:dyDescent="0.2">
      <c r="A2315" t="str">
        <f>"CACHD1"</f>
        <v>CACHD1</v>
      </c>
      <c r="B2315" t="s">
        <v>2</v>
      </c>
    </row>
    <row r="2316" spans="1:2" x14ac:dyDescent="0.2">
      <c r="A2316" t="str">
        <f>"CACNA1A"</f>
        <v>CACNA1A</v>
      </c>
      <c r="B2316" t="s">
        <v>7</v>
      </c>
    </row>
    <row r="2317" spans="1:2" x14ac:dyDescent="0.2">
      <c r="A2317" t="str">
        <f>"CACNA1B"</f>
        <v>CACNA1B</v>
      </c>
      <c r="B2317" t="s">
        <v>7</v>
      </c>
    </row>
    <row r="2318" spans="1:2" x14ac:dyDescent="0.2">
      <c r="A2318" t="str">
        <f>"CACNA1C"</f>
        <v>CACNA1C</v>
      </c>
      <c r="B2318" t="s">
        <v>7</v>
      </c>
    </row>
    <row r="2319" spans="1:2" x14ac:dyDescent="0.2">
      <c r="A2319" t="str">
        <f>"CACNA1D"</f>
        <v>CACNA1D</v>
      </c>
      <c r="B2319" t="s">
        <v>7</v>
      </c>
    </row>
    <row r="2320" spans="1:2" x14ac:dyDescent="0.2">
      <c r="A2320" t="str">
        <f>"CACNA1E"</f>
        <v>CACNA1E</v>
      </c>
      <c r="B2320" t="s">
        <v>5</v>
      </c>
    </row>
    <row r="2321" spans="1:2" x14ac:dyDescent="0.2">
      <c r="A2321" t="str">
        <f>"CACNA1F"</f>
        <v>CACNA1F</v>
      </c>
      <c r="B2321" t="s">
        <v>3</v>
      </c>
    </row>
    <row r="2322" spans="1:2" x14ac:dyDescent="0.2">
      <c r="A2322" t="str">
        <f>"CACNA1G"</f>
        <v>CACNA1G</v>
      </c>
      <c r="B2322" t="s">
        <v>3</v>
      </c>
    </row>
    <row r="2323" spans="1:2" x14ac:dyDescent="0.2">
      <c r="A2323" t="str">
        <f>"CACNA1H"</f>
        <v>CACNA1H</v>
      </c>
      <c r="B2323" t="s">
        <v>3</v>
      </c>
    </row>
    <row r="2324" spans="1:2" x14ac:dyDescent="0.2">
      <c r="A2324" t="str">
        <f>"CACNA1I"</f>
        <v>CACNA1I</v>
      </c>
      <c r="B2324" t="s">
        <v>7</v>
      </c>
    </row>
    <row r="2325" spans="1:2" x14ac:dyDescent="0.2">
      <c r="A2325" t="str">
        <f>"CACNA1S"</f>
        <v>CACNA1S</v>
      </c>
      <c r="B2325" t="s">
        <v>7</v>
      </c>
    </row>
    <row r="2326" spans="1:2" x14ac:dyDescent="0.2">
      <c r="A2326" t="str">
        <f>"CACNA2D1"</f>
        <v>CACNA2D1</v>
      </c>
      <c r="B2326" t="s">
        <v>7</v>
      </c>
    </row>
    <row r="2327" spans="1:2" x14ac:dyDescent="0.2">
      <c r="A2327" t="str">
        <f>"CACNA2D2"</f>
        <v>CACNA2D2</v>
      </c>
      <c r="B2327" t="s">
        <v>7</v>
      </c>
    </row>
    <row r="2328" spans="1:2" x14ac:dyDescent="0.2">
      <c r="A2328" t="str">
        <f>"CACNA2D3"</f>
        <v>CACNA2D3</v>
      </c>
      <c r="B2328" t="s">
        <v>3</v>
      </c>
    </row>
    <row r="2329" spans="1:2" x14ac:dyDescent="0.2">
      <c r="A2329" t="str">
        <f>"CACNA2D4"</f>
        <v>CACNA2D4</v>
      </c>
      <c r="B2329" t="s">
        <v>5</v>
      </c>
    </row>
    <row r="2330" spans="1:2" x14ac:dyDescent="0.2">
      <c r="A2330" t="str">
        <f>"CACNB1"</f>
        <v>CACNB1</v>
      </c>
      <c r="B2330" t="s">
        <v>7</v>
      </c>
    </row>
    <row r="2331" spans="1:2" x14ac:dyDescent="0.2">
      <c r="A2331" t="str">
        <f>"CACNB2"</f>
        <v>CACNB2</v>
      </c>
      <c r="B2331" t="s">
        <v>7</v>
      </c>
    </row>
    <row r="2332" spans="1:2" x14ac:dyDescent="0.2">
      <c r="A2332" t="str">
        <f>"CACNB3"</f>
        <v>CACNB3</v>
      </c>
      <c r="B2332" t="s">
        <v>7</v>
      </c>
    </row>
    <row r="2333" spans="1:2" x14ac:dyDescent="0.2">
      <c r="A2333" t="str">
        <f>"CACNB4"</f>
        <v>CACNB4</v>
      </c>
      <c r="B2333" t="s">
        <v>7</v>
      </c>
    </row>
    <row r="2334" spans="1:2" x14ac:dyDescent="0.2">
      <c r="A2334" t="str">
        <f>"CACNG1"</f>
        <v>CACNG1</v>
      </c>
      <c r="B2334" t="s">
        <v>7</v>
      </c>
    </row>
    <row r="2335" spans="1:2" x14ac:dyDescent="0.2">
      <c r="A2335" t="str">
        <f>"CACNG2"</f>
        <v>CACNG2</v>
      </c>
      <c r="B2335" t="s">
        <v>5</v>
      </c>
    </row>
    <row r="2336" spans="1:2" x14ac:dyDescent="0.2">
      <c r="A2336" t="str">
        <f>"CACNG3"</f>
        <v>CACNG3</v>
      </c>
      <c r="B2336" t="s">
        <v>5</v>
      </c>
    </row>
    <row r="2337" spans="1:2" x14ac:dyDescent="0.2">
      <c r="A2337" t="str">
        <f>"CACNG4"</f>
        <v>CACNG4</v>
      </c>
      <c r="B2337" t="s">
        <v>5</v>
      </c>
    </row>
    <row r="2338" spans="1:2" x14ac:dyDescent="0.2">
      <c r="A2338" t="str">
        <f>"CACNG5"</f>
        <v>CACNG5</v>
      </c>
      <c r="B2338" t="s">
        <v>5</v>
      </c>
    </row>
    <row r="2339" spans="1:2" x14ac:dyDescent="0.2">
      <c r="A2339" t="str">
        <f>"CACNG6"</f>
        <v>CACNG6</v>
      </c>
      <c r="B2339" t="s">
        <v>5</v>
      </c>
    </row>
    <row r="2340" spans="1:2" x14ac:dyDescent="0.2">
      <c r="A2340" t="str">
        <f>"CACNG7"</f>
        <v>CACNG7</v>
      </c>
      <c r="B2340" t="s">
        <v>5</v>
      </c>
    </row>
    <row r="2341" spans="1:2" x14ac:dyDescent="0.2">
      <c r="A2341" t="str">
        <f>"CACNG8"</f>
        <v>CACNG8</v>
      </c>
      <c r="B2341" t="s">
        <v>5</v>
      </c>
    </row>
    <row r="2342" spans="1:2" x14ac:dyDescent="0.2">
      <c r="A2342" t="str">
        <f>"CACTIN"</f>
        <v>CACTIN</v>
      </c>
      <c r="B2342" t="s">
        <v>8</v>
      </c>
    </row>
    <row r="2343" spans="1:2" x14ac:dyDescent="0.2">
      <c r="A2343" t="str">
        <f>"CACUL1"</f>
        <v>CACUL1</v>
      </c>
      <c r="B2343" t="s">
        <v>3</v>
      </c>
    </row>
    <row r="2344" spans="1:2" x14ac:dyDescent="0.2">
      <c r="A2344" t="str">
        <f>"CACYBP"</f>
        <v>CACYBP</v>
      </c>
      <c r="B2344" t="s">
        <v>3</v>
      </c>
    </row>
    <row r="2345" spans="1:2" x14ac:dyDescent="0.2">
      <c r="A2345" t="str">
        <f>"CAD"</f>
        <v>CAD</v>
      </c>
      <c r="B2345" t="s">
        <v>3</v>
      </c>
    </row>
    <row r="2346" spans="1:2" x14ac:dyDescent="0.2">
      <c r="A2346" t="str">
        <f>"CADM1"</f>
        <v>CADM1</v>
      </c>
      <c r="B2346" t="s">
        <v>3</v>
      </c>
    </row>
    <row r="2347" spans="1:2" x14ac:dyDescent="0.2">
      <c r="A2347" t="str">
        <f>"CADM2"</f>
        <v>CADM2</v>
      </c>
      <c r="B2347" t="s">
        <v>5</v>
      </c>
    </row>
    <row r="2348" spans="1:2" x14ac:dyDescent="0.2">
      <c r="A2348" t="str">
        <f>"CADM3"</f>
        <v>CADM3</v>
      </c>
      <c r="B2348" t="s">
        <v>5</v>
      </c>
    </row>
    <row r="2349" spans="1:2" x14ac:dyDescent="0.2">
      <c r="A2349" t="str">
        <f>"CADM4"</f>
        <v>CADM4</v>
      </c>
      <c r="B2349" t="s">
        <v>3</v>
      </c>
    </row>
    <row r="2350" spans="1:2" x14ac:dyDescent="0.2">
      <c r="A2350" t="str">
        <f>"CADPS"</f>
        <v>CADPS</v>
      </c>
      <c r="B2350" t="s">
        <v>6</v>
      </c>
    </row>
    <row r="2351" spans="1:2" x14ac:dyDescent="0.2">
      <c r="A2351" t="str">
        <f>"CADPS2"</f>
        <v>CADPS2</v>
      </c>
      <c r="B2351" t="s">
        <v>6</v>
      </c>
    </row>
    <row r="2352" spans="1:2" x14ac:dyDescent="0.2">
      <c r="A2352" t="str">
        <f>"CAGE1"</f>
        <v>CAGE1</v>
      </c>
      <c r="B2352" t="s">
        <v>4</v>
      </c>
    </row>
    <row r="2353" spans="1:2" x14ac:dyDescent="0.2">
      <c r="A2353" t="str">
        <f>"CALB1"</f>
        <v>CALB1</v>
      </c>
      <c r="B2353" t="s">
        <v>6</v>
      </c>
    </row>
    <row r="2354" spans="1:2" x14ac:dyDescent="0.2">
      <c r="A2354" t="str">
        <f>"CALB2"</f>
        <v>CALB2</v>
      </c>
      <c r="B2354" t="s">
        <v>4</v>
      </c>
    </row>
    <row r="2355" spans="1:2" x14ac:dyDescent="0.2">
      <c r="A2355" t="str">
        <f>"CALCA"</f>
        <v>CALCA</v>
      </c>
      <c r="B2355" t="s">
        <v>3</v>
      </c>
    </row>
    <row r="2356" spans="1:2" x14ac:dyDescent="0.2">
      <c r="A2356" t="str">
        <f>"CALCB"</f>
        <v>CALCB</v>
      </c>
      <c r="B2356" t="s">
        <v>4</v>
      </c>
    </row>
    <row r="2357" spans="1:2" x14ac:dyDescent="0.2">
      <c r="A2357" t="str">
        <f>"CALCOCO1"</f>
        <v>CALCOCO1</v>
      </c>
      <c r="B2357" t="s">
        <v>6</v>
      </c>
    </row>
    <row r="2358" spans="1:2" x14ac:dyDescent="0.2">
      <c r="A2358" t="str">
        <f>"CALCOCO2"</f>
        <v>CALCOCO2</v>
      </c>
      <c r="B2358" t="s">
        <v>2</v>
      </c>
    </row>
    <row r="2359" spans="1:2" x14ac:dyDescent="0.2">
      <c r="A2359" t="str">
        <f>"CALCR"</f>
        <v>CALCR</v>
      </c>
      <c r="B2359" t="s">
        <v>3</v>
      </c>
    </row>
    <row r="2360" spans="1:2" x14ac:dyDescent="0.2">
      <c r="A2360" t="str">
        <f>"CALCRL"</f>
        <v>CALCRL</v>
      </c>
      <c r="B2360" t="s">
        <v>5</v>
      </c>
    </row>
    <row r="2361" spans="1:2" x14ac:dyDescent="0.2">
      <c r="A2361" t="str">
        <f>"CALD1"</f>
        <v>CALD1</v>
      </c>
      <c r="B2361" t="s">
        <v>6</v>
      </c>
    </row>
    <row r="2362" spans="1:2" x14ac:dyDescent="0.2">
      <c r="A2362" t="str">
        <f>"CALHM1"</f>
        <v>CALHM1</v>
      </c>
      <c r="B2362" t="s">
        <v>2</v>
      </c>
    </row>
    <row r="2363" spans="1:2" x14ac:dyDescent="0.2">
      <c r="A2363" t="str">
        <f>"CALHM2"</f>
        <v>CALHM2</v>
      </c>
      <c r="B2363" t="s">
        <v>5</v>
      </c>
    </row>
    <row r="2364" spans="1:2" x14ac:dyDescent="0.2">
      <c r="A2364" t="str">
        <f>"CALHM3"</f>
        <v>CALHM3</v>
      </c>
      <c r="B2364" t="s">
        <v>5</v>
      </c>
    </row>
    <row r="2365" spans="1:2" x14ac:dyDescent="0.2">
      <c r="A2365" t="str">
        <f>"CALM1"</f>
        <v>CALM1</v>
      </c>
      <c r="B2365" t="s">
        <v>7</v>
      </c>
    </row>
    <row r="2366" spans="1:2" x14ac:dyDescent="0.2">
      <c r="A2366" t="str">
        <f>"CALM2"</f>
        <v>CALM2</v>
      </c>
      <c r="B2366" t="s">
        <v>7</v>
      </c>
    </row>
    <row r="2367" spans="1:2" x14ac:dyDescent="0.2">
      <c r="A2367" t="str">
        <f>"CALM3"</f>
        <v>CALM3</v>
      </c>
      <c r="B2367" t="s">
        <v>7</v>
      </c>
    </row>
    <row r="2368" spans="1:2" x14ac:dyDescent="0.2">
      <c r="A2368" t="str">
        <f>"CALML3"</f>
        <v>CALML3</v>
      </c>
      <c r="B2368" t="s">
        <v>4</v>
      </c>
    </row>
    <row r="2369" spans="1:2" x14ac:dyDescent="0.2">
      <c r="A2369" t="str">
        <f>"CALML4"</f>
        <v>CALML4</v>
      </c>
      <c r="B2369" t="s">
        <v>4</v>
      </c>
    </row>
    <row r="2370" spans="1:2" x14ac:dyDescent="0.2">
      <c r="A2370" t="str">
        <f>"CALML5"</f>
        <v>CALML5</v>
      </c>
      <c r="B2370" t="s">
        <v>4</v>
      </c>
    </row>
    <row r="2371" spans="1:2" x14ac:dyDescent="0.2">
      <c r="A2371" t="str">
        <f>"CALML6"</f>
        <v>CALML6</v>
      </c>
      <c r="B2371" t="s">
        <v>4</v>
      </c>
    </row>
    <row r="2372" spans="1:2" x14ac:dyDescent="0.2">
      <c r="A2372" t="str">
        <f>"CALN1"</f>
        <v>CALN1</v>
      </c>
      <c r="B2372" t="s">
        <v>5</v>
      </c>
    </row>
    <row r="2373" spans="1:2" x14ac:dyDescent="0.2">
      <c r="A2373" t="str">
        <f>"CALR"</f>
        <v>CALR</v>
      </c>
      <c r="B2373" t="s">
        <v>7</v>
      </c>
    </row>
    <row r="2374" spans="1:2" x14ac:dyDescent="0.2">
      <c r="A2374" t="str">
        <f>"CALR3"</f>
        <v>CALR3</v>
      </c>
      <c r="B2374" t="s">
        <v>2</v>
      </c>
    </row>
    <row r="2375" spans="1:2" x14ac:dyDescent="0.2">
      <c r="A2375" t="str">
        <f>"CALU"</f>
        <v>CALU</v>
      </c>
      <c r="B2375" t="s">
        <v>6</v>
      </c>
    </row>
    <row r="2376" spans="1:2" x14ac:dyDescent="0.2">
      <c r="A2376" t="str">
        <f>"CALY"</f>
        <v>CALY</v>
      </c>
      <c r="B2376" t="s">
        <v>7</v>
      </c>
    </row>
    <row r="2377" spans="1:2" x14ac:dyDescent="0.2">
      <c r="A2377" t="str">
        <f>"CAMK1"</f>
        <v>CAMK1</v>
      </c>
      <c r="B2377" t="s">
        <v>7</v>
      </c>
    </row>
    <row r="2378" spans="1:2" x14ac:dyDescent="0.2">
      <c r="A2378" t="str">
        <f>"CAMK1D"</f>
        <v>CAMK1D</v>
      </c>
      <c r="B2378" t="s">
        <v>7</v>
      </c>
    </row>
    <row r="2379" spans="1:2" x14ac:dyDescent="0.2">
      <c r="A2379" t="str">
        <f>"CAMK1G"</f>
        <v>CAMK1G</v>
      </c>
      <c r="B2379" t="s">
        <v>7</v>
      </c>
    </row>
    <row r="2380" spans="1:2" x14ac:dyDescent="0.2">
      <c r="A2380" t="str">
        <f>"CAMK2A"</f>
        <v>CAMK2A</v>
      </c>
      <c r="B2380" t="s">
        <v>7</v>
      </c>
    </row>
    <row r="2381" spans="1:2" x14ac:dyDescent="0.2">
      <c r="A2381" t="str">
        <f>"CAMK2B"</f>
        <v>CAMK2B</v>
      </c>
      <c r="B2381" t="s">
        <v>7</v>
      </c>
    </row>
    <row r="2382" spans="1:2" x14ac:dyDescent="0.2">
      <c r="A2382" t="str">
        <f>"CAMK2D"</f>
        <v>CAMK2D</v>
      </c>
      <c r="B2382" t="s">
        <v>7</v>
      </c>
    </row>
    <row r="2383" spans="1:2" x14ac:dyDescent="0.2">
      <c r="A2383" t="str">
        <f>"CAMK2G"</f>
        <v>CAMK2G</v>
      </c>
      <c r="B2383" t="s">
        <v>7</v>
      </c>
    </row>
    <row r="2384" spans="1:2" x14ac:dyDescent="0.2">
      <c r="A2384" t="str">
        <f>"CAMK2N1"</f>
        <v>CAMK2N1</v>
      </c>
      <c r="B2384" t="s">
        <v>7</v>
      </c>
    </row>
    <row r="2385" spans="1:2" x14ac:dyDescent="0.2">
      <c r="A2385" t="str">
        <f>"CAMK2N2"</f>
        <v>CAMK2N2</v>
      </c>
      <c r="B2385" t="s">
        <v>3</v>
      </c>
    </row>
    <row r="2386" spans="1:2" x14ac:dyDescent="0.2">
      <c r="A2386" t="str">
        <f>"CAMK4"</f>
        <v>CAMK4</v>
      </c>
      <c r="B2386" t="s">
        <v>7</v>
      </c>
    </row>
    <row r="2387" spans="1:2" x14ac:dyDescent="0.2">
      <c r="A2387" t="str">
        <f>"CAMKK1"</f>
        <v>CAMKK1</v>
      </c>
      <c r="B2387" t="s">
        <v>7</v>
      </c>
    </row>
    <row r="2388" spans="1:2" x14ac:dyDescent="0.2">
      <c r="A2388" t="str">
        <f>"CAMKK2"</f>
        <v>CAMKK2</v>
      </c>
      <c r="B2388" t="s">
        <v>7</v>
      </c>
    </row>
    <row r="2389" spans="1:2" x14ac:dyDescent="0.2">
      <c r="A2389" t="str">
        <f>"CAMKMT"</f>
        <v>CAMKMT</v>
      </c>
      <c r="B2389" t="s">
        <v>4</v>
      </c>
    </row>
    <row r="2390" spans="1:2" x14ac:dyDescent="0.2">
      <c r="A2390" t="str">
        <f>"CAMKV"</f>
        <v>CAMKV</v>
      </c>
      <c r="B2390" t="s">
        <v>7</v>
      </c>
    </row>
    <row r="2391" spans="1:2" x14ac:dyDescent="0.2">
      <c r="A2391" t="str">
        <f>"CAMLG"</f>
        <v>CAMLG</v>
      </c>
      <c r="B2391" t="s">
        <v>7</v>
      </c>
    </row>
    <row r="2392" spans="1:2" x14ac:dyDescent="0.2">
      <c r="A2392" t="str">
        <f>"CAMP"</f>
        <v>CAMP</v>
      </c>
      <c r="B2392" t="s">
        <v>7</v>
      </c>
    </row>
    <row r="2393" spans="1:2" x14ac:dyDescent="0.2">
      <c r="A2393" t="str">
        <f>"CAMSAP1"</f>
        <v>CAMSAP1</v>
      </c>
      <c r="B2393" t="s">
        <v>2</v>
      </c>
    </row>
    <row r="2394" spans="1:2" x14ac:dyDescent="0.2">
      <c r="A2394" t="str">
        <f>"CAMSAP2"</f>
        <v>CAMSAP2</v>
      </c>
      <c r="B2394" t="s">
        <v>5</v>
      </c>
    </row>
    <row r="2395" spans="1:2" x14ac:dyDescent="0.2">
      <c r="A2395" t="str">
        <f>"CAMSAP3"</f>
        <v>CAMSAP3</v>
      </c>
      <c r="B2395" t="s">
        <v>4</v>
      </c>
    </row>
    <row r="2396" spans="1:2" x14ac:dyDescent="0.2">
      <c r="A2396" t="str">
        <f>"CAMTA1"</f>
        <v>CAMTA1</v>
      </c>
      <c r="B2396" t="s">
        <v>3</v>
      </c>
    </row>
    <row r="2397" spans="1:2" x14ac:dyDescent="0.2">
      <c r="A2397" t="str">
        <f>"CAMTA2"</f>
        <v>CAMTA2</v>
      </c>
      <c r="B2397" t="s">
        <v>8</v>
      </c>
    </row>
    <row r="2398" spans="1:2" x14ac:dyDescent="0.2">
      <c r="A2398" t="str">
        <f>"CAND1"</f>
        <v>CAND1</v>
      </c>
      <c r="B2398" t="s">
        <v>2</v>
      </c>
    </row>
    <row r="2399" spans="1:2" x14ac:dyDescent="0.2">
      <c r="A2399" t="str">
        <f>"CAND2"</f>
        <v>CAND2</v>
      </c>
      <c r="B2399" t="s">
        <v>2</v>
      </c>
    </row>
    <row r="2400" spans="1:2" x14ac:dyDescent="0.2">
      <c r="A2400" t="str">
        <f>"CANT1"</f>
        <v>CANT1</v>
      </c>
      <c r="B2400" t="s">
        <v>7</v>
      </c>
    </row>
    <row r="2401" spans="1:2" x14ac:dyDescent="0.2">
      <c r="A2401" t="str">
        <f>"CANX"</f>
        <v>CANX</v>
      </c>
      <c r="B2401" t="s">
        <v>7</v>
      </c>
    </row>
    <row r="2402" spans="1:2" x14ac:dyDescent="0.2">
      <c r="A2402" t="str">
        <f>"CAP1"</f>
        <v>CAP1</v>
      </c>
      <c r="B2402" t="s">
        <v>6</v>
      </c>
    </row>
    <row r="2403" spans="1:2" x14ac:dyDescent="0.2">
      <c r="A2403" t="str">
        <f>"CAP2"</f>
        <v>CAP2</v>
      </c>
      <c r="B2403" t="s">
        <v>6</v>
      </c>
    </row>
    <row r="2404" spans="1:2" x14ac:dyDescent="0.2">
      <c r="A2404" t="str">
        <f>"CAPG"</f>
        <v>CAPG</v>
      </c>
      <c r="B2404" t="s">
        <v>4</v>
      </c>
    </row>
    <row r="2405" spans="1:2" x14ac:dyDescent="0.2">
      <c r="A2405" t="str">
        <f>"CAPN1"</f>
        <v>CAPN1</v>
      </c>
      <c r="B2405" t="s">
        <v>7</v>
      </c>
    </row>
    <row r="2406" spans="1:2" x14ac:dyDescent="0.2">
      <c r="A2406" t="str">
        <f>"CAPN10"</f>
        <v>CAPN10</v>
      </c>
      <c r="B2406" t="s">
        <v>2</v>
      </c>
    </row>
    <row r="2407" spans="1:2" x14ac:dyDescent="0.2">
      <c r="A2407" t="str">
        <f>"CAPN11"</f>
        <v>CAPN11</v>
      </c>
      <c r="B2407" t="s">
        <v>2</v>
      </c>
    </row>
    <row r="2408" spans="1:2" x14ac:dyDescent="0.2">
      <c r="A2408" t="str">
        <f>"CAPN12"</f>
        <v>CAPN12</v>
      </c>
      <c r="B2408" t="s">
        <v>2</v>
      </c>
    </row>
    <row r="2409" spans="1:2" x14ac:dyDescent="0.2">
      <c r="A2409" t="str">
        <f>"CAPN13"</f>
        <v>CAPN13</v>
      </c>
      <c r="B2409" t="s">
        <v>2</v>
      </c>
    </row>
    <row r="2410" spans="1:2" x14ac:dyDescent="0.2">
      <c r="A2410" t="str">
        <f>"CAPN14"</f>
        <v>CAPN14</v>
      </c>
      <c r="B2410" t="s">
        <v>4</v>
      </c>
    </row>
    <row r="2411" spans="1:2" x14ac:dyDescent="0.2">
      <c r="A2411" t="str">
        <f>"CAPN15"</f>
        <v>CAPN15</v>
      </c>
      <c r="B2411" t="s">
        <v>2</v>
      </c>
    </row>
    <row r="2412" spans="1:2" x14ac:dyDescent="0.2">
      <c r="A2412" t="str">
        <f>"CAPN2"</f>
        <v>CAPN2</v>
      </c>
      <c r="B2412" t="s">
        <v>2</v>
      </c>
    </row>
    <row r="2413" spans="1:2" x14ac:dyDescent="0.2">
      <c r="A2413" t="str">
        <f>"CAPN3"</f>
        <v>CAPN3</v>
      </c>
      <c r="B2413" t="s">
        <v>2</v>
      </c>
    </row>
    <row r="2414" spans="1:2" x14ac:dyDescent="0.2">
      <c r="A2414" t="str">
        <f>"CAPN5"</f>
        <v>CAPN5</v>
      </c>
      <c r="B2414" t="s">
        <v>2</v>
      </c>
    </row>
    <row r="2415" spans="1:2" x14ac:dyDescent="0.2">
      <c r="A2415" t="str">
        <f>"CAPN6"</f>
        <v>CAPN6</v>
      </c>
      <c r="B2415" t="s">
        <v>2</v>
      </c>
    </row>
    <row r="2416" spans="1:2" x14ac:dyDescent="0.2">
      <c r="A2416" t="str">
        <f>"CAPN7"</f>
        <v>CAPN7</v>
      </c>
      <c r="B2416" t="s">
        <v>2</v>
      </c>
    </row>
    <row r="2417" spans="1:2" x14ac:dyDescent="0.2">
      <c r="A2417" t="str">
        <f>"CAPN8"</f>
        <v>CAPN8</v>
      </c>
      <c r="B2417" t="s">
        <v>2</v>
      </c>
    </row>
    <row r="2418" spans="1:2" x14ac:dyDescent="0.2">
      <c r="A2418" t="str">
        <f>"CAPN9"</f>
        <v>CAPN9</v>
      </c>
      <c r="B2418" t="s">
        <v>2</v>
      </c>
    </row>
    <row r="2419" spans="1:2" x14ac:dyDescent="0.2">
      <c r="A2419" t="str">
        <f>"CAPNS1"</f>
        <v>CAPNS1</v>
      </c>
      <c r="B2419" t="s">
        <v>7</v>
      </c>
    </row>
    <row r="2420" spans="1:2" x14ac:dyDescent="0.2">
      <c r="A2420" t="str">
        <f>"CAPNS2"</f>
        <v>CAPNS2</v>
      </c>
      <c r="B2420" t="s">
        <v>3</v>
      </c>
    </row>
    <row r="2421" spans="1:2" x14ac:dyDescent="0.2">
      <c r="A2421" t="str">
        <f>"CAPRIN1"</f>
        <v>CAPRIN1</v>
      </c>
      <c r="B2421" t="s">
        <v>2</v>
      </c>
    </row>
    <row r="2422" spans="1:2" x14ac:dyDescent="0.2">
      <c r="A2422" t="str">
        <f>"CAPRIN2"</f>
        <v>CAPRIN2</v>
      </c>
      <c r="B2422" t="s">
        <v>6</v>
      </c>
    </row>
    <row r="2423" spans="1:2" x14ac:dyDescent="0.2">
      <c r="A2423" t="str">
        <f>"CAPS"</f>
        <v>CAPS</v>
      </c>
      <c r="B2423" t="s">
        <v>4</v>
      </c>
    </row>
    <row r="2424" spans="1:2" x14ac:dyDescent="0.2">
      <c r="A2424" t="str">
        <f>"CAPS2"</f>
        <v>CAPS2</v>
      </c>
      <c r="B2424" t="s">
        <v>4</v>
      </c>
    </row>
    <row r="2425" spans="1:2" x14ac:dyDescent="0.2">
      <c r="A2425" t="str">
        <f>"CAPSL"</f>
        <v>CAPSL</v>
      </c>
      <c r="B2425" t="s">
        <v>4</v>
      </c>
    </row>
    <row r="2426" spans="1:2" x14ac:dyDescent="0.2">
      <c r="A2426" t="str">
        <f>"CAPZA1"</f>
        <v>CAPZA1</v>
      </c>
      <c r="B2426" t="s">
        <v>6</v>
      </c>
    </row>
    <row r="2427" spans="1:2" x14ac:dyDescent="0.2">
      <c r="A2427" t="str">
        <f>"CAPZA2"</f>
        <v>CAPZA2</v>
      </c>
      <c r="B2427" t="s">
        <v>6</v>
      </c>
    </row>
    <row r="2428" spans="1:2" x14ac:dyDescent="0.2">
      <c r="A2428" t="str">
        <f>"CAPZA3"</f>
        <v>CAPZA3</v>
      </c>
      <c r="B2428" t="s">
        <v>6</v>
      </c>
    </row>
    <row r="2429" spans="1:2" x14ac:dyDescent="0.2">
      <c r="A2429" t="str">
        <f>"CAPZB"</f>
        <v>CAPZB</v>
      </c>
      <c r="B2429" t="s">
        <v>2</v>
      </c>
    </row>
    <row r="2430" spans="1:2" x14ac:dyDescent="0.2">
      <c r="A2430" t="str">
        <f>"CARD10"</f>
        <v>CARD10</v>
      </c>
      <c r="B2430" t="s">
        <v>3</v>
      </c>
    </row>
    <row r="2431" spans="1:2" x14ac:dyDescent="0.2">
      <c r="A2431" t="str">
        <f>"CARD11"</f>
        <v>CARD11</v>
      </c>
      <c r="B2431" t="s">
        <v>3</v>
      </c>
    </row>
    <row r="2432" spans="1:2" x14ac:dyDescent="0.2">
      <c r="A2432" t="str">
        <f>"CARD14"</f>
        <v>CARD14</v>
      </c>
      <c r="B2432" t="s">
        <v>3</v>
      </c>
    </row>
    <row r="2433" spans="1:2" x14ac:dyDescent="0.2">
      <c r="A2433" t="str">
        <f>"CARD16"</f>
        <v>CARD16</v>
      </c>
      <c r="B2433" t="s">
        <v>4</v>
      </c>
    </row>
    <row r="2434" spans="1:2" x14ac:dyDescent="0.2">
      <c r="A2434" t="str">
        <f>"CARD17"</f>
        <v>CARD17</v>
      </c>
      <c r="B2434" t="s">
        <v>3</v>
      </c>
    </row>
    <row r="2435" spans="1:2" x14ac:dyDescent="0.2">
      <c r="A2435" t="str">
        <f>"CARD18"</f>
        <v>CARD18</v>
      </c>
      <c r="B2435" t="s">
        <v>3</v>
      </c>
    </row>
    <row r="2436" spans="1:2" x14ac:dyDescent="0.2">
      <c r="A2436" t="str">
        <f>"CARD6"</f>
        <v>CARD6</v>
      </c>
      <c r="B2436" t="s">
        <v>3</v>
      </c>
    </row>
    <row r="2437" spans="1:2" x14ac:dyDescent="0.2">
      <c r="A2437" t="str">
        <f>"CARD8"</f>
        <v>CARD8</v>
      </c>
      <c r="B2437" t="s">
        <v>3</v>
      </c>
    </row>
    <row r="2438" spans="1:2" x14ac:dyDescent="0.2">
      <c r="A2438" t="str">
        <f>"CARD9"</f>
        <v>CARD9</v>
      </c>
      <c r="B2438" t="s">
        <v>3</v>
      </c>
    </row>
    <row r="2439" spans="1:2" x14ac:dyDescent="0.2">
      <c r="A2439" t="str">
        <f>"CARF"</f>
        <v>CARF</v>
      </c>
      <c r="B2439" t="s">
        <v>4</v>
      </c>
    </row>
    <row r="2440" spans="1:2" x14ac:dyDescent="0.2">
      <c r="A2440" t="str">
        <f>"CARHSP1"</f>
        <v>CARHSP1</v>
      </c>
      <c r="B2440" t="s">
        <v>8</v>
      </c>
    </row>
    <row r="2441" spans="1:2" x14ac:dyDescent="0.2">
      <c r="A2441" t="str">
        <f>"CARKD"</f>
        <v>CARKD</v>
      </c>
      <c r="B2441" t="s">
        <v>6</v>
      </c>
    </row>
    <row r="2442" spans="1:2" x14ac:dyDescent="0.2">
      <c r="A2442" t="str">
        <f>"CARM1"</f>
        <v>CARM1</v>
      </c>
      <c r="B2442" t="s">
        <v>3</v>
      </c>
    </row>
    <row r="2443" spans="1:2" x14ac:dyDescent="0.2">
      <c r="A2443" t="str">
        <f>"CARNS1"</f>
        <v>CARNS1</v>
      </c>
      <c r="B2443" t="s">
        <v>5</v>
      </c>
    </row>
    <row r="2444" spans="1:2" x14ac:dyDescent="0.2">
      <c r="A2444" t="str">
        <f>"CARS"</f>
        <v>CARS</v>
      </c>
      <c r="B2444" t="s">
        <v>3</v>
      </c>
    </row>
    <row r="2445" spans="1:2" x14ac:dyDescent="0.2">
      <c r="A2445" t="str">
        <f>"CARS2"</f>
        <v>CARS2</v>
      </c>
      <c r="B2445" t="s">
        <v>3</v>
      </c>
    </row>
    <row r="2446" spans="1:2" x14ac:dyDescent="0.2">
      <c r="A2446" t="str">
        <f>"CARTPT"</f>
        <v>CARTPT</v>
      </c>
      <c r="B2446" t="s">
        <v>7</v>
      </c>
    </row>
    <row r="2447" spans="1:2" x14ac:dyDescent="0.2">
      <c r="A2447" t="str">
        <f>"CASC1"</f>
        <v>CASC1</v>
      </c>
      <c r="B2447" t="s">
        <v>4</v>
      </c>
    </row>
    <row r="2448" spans="1:2" x14ac:dyDescent="0.2">
      <c r="A2448" t="str">
        <f>"CASC10"</f>
        <v>CASC10</v>
      </c>
      <c r="B2448" t="s">
        <v>4</v>
      </c>
    </row>
    <row r="2449" spans="1:2" x14ac:dyDescent="0.2">
      <c r="A2449" t="str">
        <f>"CASC3"</f>
        <v>CASC3</v>
      </c>
      <c r="B2449" t="s">
        <v>2</v>
      </c>
    </row>
    <row r="2450" spans="1:2" x14ac:dyDescent="0.2">
      <c r="A2450" t="str">
        <f>"CASC4"</f>
        <v>CASC4</v>
      </c>
      <c r="B2450" t="s">
        <v>5</v>
      </c>
    </row>
    <row r="2451" spans="1:2" x14ac:dyDescent="0.2">
      <c r="A2451" t="str">
        <f>"CASC5"</f>
        <v>CASC5</v>
      </c>
      <c r="B2451" t="s">
        <v>3</v>
      </c>
    </row>
    <row r="2452" spans="1:2" x14ac:dyDescent="0.2">
      <c r="A2452" t="str">
        <f>"CASD1"</f>
        <v>CASD1</v>
      </c>
      <c r="B2452" t="s">
        <v>5</v>
      </c>
    </row>
    <row r="2453" spans="1:2" x14ac:dyDescent="0.2">
      <c r="A2453" t="str">
        <f>"CASK"</f>
        <v>CASK</v>
      </c>
      <c r="B2453" t="s">
        <v>7</v>
      </c>
    </row>
    <row r="2454" spans="1:2" x14ac:dyDescent="0.2">
      <c r="A2454" t="str">
        <f>"CASKIN1"</f>
        <v>CASKIN1</v>
      </c>
      <c r="B2454" t="s">
        <v>8</v>
      </c>
    </row>
    <row r="2455" spans="1:2" x14ac:dyDescent="0.2">
      <c r="A2455" t="str">
        <f>"CASKIN2"</f>
        <v>CASKIN2</v>
      </c>
      <c r="B2455" t="s">
        <v>4</v>
      </c>
    </row>
    <row r="2456" spans="1:2" x14ac:dyDescent="0.2">
      <c r="A2456" t="str">
        <f>"CASP1"</f>
        <v>CASP1</v>
      </c>
      <c r="B2456" t="s">
        <v>3</v>
      </c>
    </row>
    <row r="2457" spans="1:2" x14ac:dyDescent="0.2">
      <c r="A2457" t="str">
        <f>"CASP10"</f>
        <v>CASP10</v>
      </c>
      <c r="B2457" t="s">
        <v>2</v>
      </c>
    </row>
    <row r="2458" spans="1:2" x14ac:dyDescent="0.2">
      <c r="A2458" t="str">
        <f>"CASP12"</f>
        <v>CASP12</v>
      </c>
      <c r="B2458" t="s">
        <v>3</v>
      </c>
    </row>
    <row r="2459" spans="1:2" x14ac:dyDescent="0.2">
      <c r="A2459" t="str">
        <f>"CASP14"</f>
        <v>CASP14</v>
      </c>
      <c r="B2459" t="s">
        <v>2</v>
      </c>
    </row>
    <row r="2460" spans="1:2" x14ac:dyDescent="0.2">
      <c r="A2460" t="str">
        <f>"CASP16"</f>
        <v>CASP16</v>
      </c>
      <c r="B2460" t="s">
        <v>4</v>
      </c>
    </row>
    <row r="2461" spans="1:2" x14ac:dyDescent="0.2">
      <c r="A2461" t="str">
        <f>"CASP2"</f>
        <v>CASP2</v>
      </c>
      <c r="B2461" t="s">
        <v>2</v>
      </c>
    </row>
    <row r="2462" spans="1:2" x14ac:dyDescent="0.2">
      <c r="A2462" t="str">
        <f>"CASP3"</f>
        <v>CASP3</v>
      </c>
      <c r="B2462" t="s">
        <v>3</v>
      </c>
    </row>
    <row r="2463" spans="1:2" x14ac:dyDescent="0.2">
      <c r="A2463" t="str">
        <f>"CASP4"</f>
        <v>CASP4</v>
      </c>
      <c r="B2463" t="s">
        <v>3</v>
      </c>
    </row>
    <row r="2464" spans="1:2" x14ac:dyDescent="0.2">
      <c r="A2464" t="str">
        <f>"CASP5"</f>
        <v>CASP5</v>
      </c>
      <c r="B2464" t="s">
        <v>3</v>
      </c>
    </row>
    <row r="2465" spans="1:2" x14ac:dyDescent="0.2">
      <c r="A2465" t="str">
        <f>"CASP6"</f>
        <v>CASP6</v>
      </c>
      <c r="B2465" t="s">
        <v>2</v>
      </c>
    </row>
    <row r="2466" spans="1:2" x14ac:dyDescent="0.2">
      <c r="A2466" t="str">
        <f>"CASP7"</f>
        <v>CASP7</v>
      </c>
      <c r="B2466" t="s">
        <v>7</v>
      </c>
    </row>
    <row r="2467" spans="1:2" x14ac:dyDescent="0.2">
      <c r="A2467" t="str">
        <f>"CASP8"</f>
        <v>CASP8</v>
      </c>
      <c r="B2467" t="s">
        <v>3</v>
      </c>
    </row>
    <row r="2468" spans="1:2" x14ac:dyDescent="0.2">
      <c r="A2468" t="str">
        <f>"CASP8AP2"</f>
        <v>CASP8AP2</v>
      </c>
      <c r="B2468" t="s">
        <v>3</v>
      </c>
    </row>
    <row r="2469" spans="1:2" x14ac:dyDescent="0.2">
      <c r="A2469" t="str">
        <f>"CASP9"</f>
        <v>CASP9</v>
      </c>
      <c r="B2469" t="s">
        <v>2</v>
      </c>
    </row>
    <row r="2470" spans="1:2" x14ac:dyDescent="0.2">
      <c r="A2470" t="str">
        <f>"CASQ1"</f>
        <v>CASQ1</v>
      </c>
      <c r="B2470" t="s">
        <v>6</v>
      </c>
    </row>
    <row r="2471" spans="1:2" x14ac:dyDescent="0.2">
      <c r="A2471" t="str">
        <f>"CASQ2"</f>
        <v>CASQ2</v>
      </c>
      <c r="B2471" t="s">
        <v>6</v>
      </c>
    </row>
    <row r="2472" spans="1:2" x14ac:dyDescent="0.2">
      <c r="A2472" t="str">
        <f>"CASR"</f>
        <v>CASR</v>
      </c>
      <c r="B2472" t="s">
        <v>7</v>
      </c>
    </row>
    <row r="2473" spans="1:2" x14ac:dyDescent="0.2">
      <c r="A2473" t="str">
        <f>"CASS4"</f>
        <v>CASS4</v>
      </c>
      <c r="B2473" t="s">
        <v>4</v>
      </c>
    </row>
    <row r="2474" spans="1:2" x14ac:dyDescent="0.2">
      <c r="A2474" t="str">
        <f>"CAST"</f>
        <v>CAST</v>
      </c>
      <c r="B2474" t="s">
        <v>7</v>
      </c>
    </row>
    <row r="2475" spans="1:2" x14ac:dyDescent="0.2">
      <c r="A2475" t="str">
        <f>"CASZ1"</f>
        <v>CASZ1</v>
      </c>
      <c r="B2475" t="s">
        <v>8</v>
      </c>
    </row>
    <row r="2476" spans="1:2" x14ac:dyDescent="0.2">
      <c r="A2476" t="str">
        <f>"CAT"</f>
        <v>CAT</v>
      </c>
      <c r="B2476" t="s">
        <v>7</v>
      </c>
    </row>
    <row r="2477" spans="1:2" x14ac:dyDescent="0.2">
      <c r="A2477" t="str">
        <f>"CATSPER1"</f>
        <v>CATSPER1</v>
      </c>
      <c r="B2477" t="s">
        <v>5</v>
      </c>
    </row>
    <row r="2478" spans="1:2" x14ac:dyDescent="0.2">
      <c r="A2478" t="str">
        <f>"CATSPER2"</f>
        <v>CATSPER2</v>
      </c>
      <c r="B2478" t="s">
        <v>2</v>
      </c>
    </row>
    <row r="2479" spans="1:2" x14ac:dyDescent="0.2">
      <c r="A2479" t="str">
        <f>"CATSPER3"</f>
        <v>CATSPER3</v>
      </c>
      <c r="B2479" t="s">
        <v>5</v>
      </c>
    </row>
    <row r="2480" spans="1:2" x14ac:dyDescent="0.2">
      <c r="A2480" t="str">
        <f>"CATSPER4"</f>
        <v>CATSPER4</v>
      </c>
      <c r="B2480" t="s">
        <v>5</v>
      </c>
    </row>
    <row r="2481" spans="1:2" x14ac:dyDescent="0.2">
      <c r="A2481" t="str">
        <f>"CATSPERB"</f>
        <v>CATSPERB</v>
      </c>
      <c r="B2481" t="s">
        <v>5</v>
      </c>
    </row>
    <row r="2482" spans="1:2" x14ac:dyDescent="0.2">
      <c r="A2482" t="str">
        <f>"CATSPERD"</f>
        <v>CATSPERD</v>
      </c>
      <c r="B2482" t="s">
        <v>5</v>
      </c>
    </row>
    <row r="2483" spans="1:2" x14ac:dyDescent="0.2">
      <c r="A2483" t="str">
        <f>"CATSPERG"</f>
        <v>CATSPERG</v>
      </c>
      <c r="B2483" t="s">
        <v>5</v>
      </c>
    </row>
    <row r="2484" spans="1:2" x14ac:dyDescent="0.2">
      <c r="A2484" t="str">
        <f>"CAV1"</f>
        <v>CAV1</v>
      </c>
      <c r="B2484" t="s">
        <v>3</v>
      </c>
    </row>
    <row r="2485" spans="1:2" x14ac:dyDescent="0.2">
      <c r="A2485" t="str">
        <f>"CAV2"</f>
        <v>CAV2</v>
      </c>
      <c r="B2485" t="s">
        <v>2</v>
      </c>
    </row>
    <row r="2486" spans="1:2" x14ac:dyDescent="0.2">
      <c r="A2486" t="str">
        <f>"CAV3"</f>
        <v>CAV3</v>
      </c>
      <c r="B2486" t="s">
        <v>6</v>
      </c>
    </row>
    <row r="2487" spans="1:2" x14ac:dyDescent="0.2">
      <c r="A2487" t="str">
        <f>"CBFA2T2"</f>
        <v>CBFA2T2</v>
      </c>
      <c r="B2487" t="s">
        <v>8</v>
      </c>
    </row>
    <row r="2488" spans="1:2" x14ac:dyDescent="0.2">
      <c r="A2488" t="str">
        <f>"CBFA2T3"</f>
        <v>CBFA2T3</v>
      </c>
      <c r="B2488" t="s">
        <v>3</v>
      </c>
    </row>
    <row r="2489" spans="1:2" x14ac:dyDescent="0.2">
      <c r="A2489" t="str">
        <f>"CBFB"</f>
        <v>CBFB</v>
      </c>
      <c r="B2489" t="s">
        <v>3</v>
      </c>
    </row>
    <row r="2490" spans="1:2" x14ac:dyDescent="0.2">
      <c r="A2490" t="str">
        <f>"CBL"</f>
        <v>CBL</v>
      </c>
      <c r="B2490" t="s">
        <v>3</v>
      </c>
    </row>
    <row r="2491" spans="1:2" x14ac:dyDescent="0.2">
      <c r="A2491" t="str">
        <f>"CBLB"</f>
        <v>CBLB</v>
      </c>
      <c r="B2491" t="s">
        <v>2</v>
      </c>
    </row>
    <row r="2492" spans="1:2" x14ac:dyDescent="0.2">
      <c r="A2492" t="str">
        <f>"CBLC"</f>
        <v>CBLC</v>
      </c>
      <c r="B2492" t="s">
        <v>2</v>
      </c>
    </row>
    <row r="2493" spans="1:2" x14ac:dyDescent="0.2">
      <c r="A2493" t="str">
        <f>"CBLL1"</f>
        <v>CBLL1</v>
      </c>
      <c r="B2493" t="s">
        <v>2</v>
      </c>
    </row>
    <row r="2494" spans="1:2" x14ac:dyDescent="0.2">
      <c r="A2494" t="str">
        <f>"CBLN1"</f>
        <v>CBLN1</v>
      </c>
      <c r="B2494" t="s">
        <v>4</v>
      </c>
    </row>
    <row r="2495" spans="1:2" x14ac:dyDescent="0.2">
      <c r="A2495" t="str">
        <f>"CBLN2"</f>
        <v>CBLN2</v>
      </c>
      <c r="B2495" t="s">
        <v>4</v>
      </c>
    </row>
    <row r="2496" spans="1:2" x14ac:dyDescent="0.2">
      <c r="A2496" t="str">
        <f>"CBLN3"</f>
        <v>CBLN3</v>
      </c>
      <c r="B2496" t="s">
        <v>4</v>
      </c>
    </row>
    <row r="2497" spans="1:2" x14ac:dyDescent="0.2">
      <c r="A2497" t="str">
        <f>"CBLN4"</f>
        <v>CBLN4</v>
      </c>
      <c r="B2497" t="s">
        <v>4</v>
      </c>
    </row>
    <row r="2498" spans="1:2" x14ac:dyDescent="0.2">
      <c r="A2498" t="str">
        <f>"CBR1"</f>
        <v>CBR1</v>
      </c>
      <c r="B2498" t="s">
        <v>7</v>
      </c>
    </row>
    <row r="2499" spans="1:2" x14ac:dyDescent="0.2">
      <c r="A2499" t="str">
        <f>"CBR3"</f>
        <v>CBR3</v>
      </c>
      <c r="B2499" t="s">
        <v>4</v>
      </c>
    </row>
    <row r="2500" spans="1:2" x14ac:dyDescent="0.2">
      <c r="A2500" t="str">
        <f>"CBR4"</f>
        <v>CBR4</v>
      </c>
      <c r="B2500" t="s">
        <v>6</v>
      </c>
    </row>
    <row r="2501" spans="1:2" x14ac:dyDescent="0.2">
      <c r="A2501" t="str">
        <f>"CBS"</f>
        <v>CBS</v>
      </c>
      <c r="B2501" t="s">
        <v>7</v>
      </c>
    </row>
    <row r="2502" spans="1:2" x14ac:dyDescent="0.2">
      <c r="A2502" t="str">
        <f>"CBWD1"</f>
        <v>CBWD1</v>
      </c>
      <c r="B2502" t="s">
        <v>4</v>
      </c>
    </row>
    <row r="2503" spans="1:2" x14ac:dyDescent="0.2">
      <c r="A2503" t="str">
        <f>"CBX1"</f>
        <v>CBX1</v>
      </c>
      <c r="B2503" t="s">
        <v>2</v>
      </c>
    </row>
    <row r="2504" spans="1:2" x14ac:dyDescent="0.2">
      <c r="A2504" t="str">
        <f>"CBX2"</f>
        <v>CBX2</v>
      </c>
      <c r="B2504" t="s">
        <v>6</v>
      </c>
    </row>
    <row r="2505" spans="1:2" x14ac:dyDescent="0.2">
      <c r="A2505" t="str">
        <f>"CBX3"</f>
        <v>CBX3</v>
      </c>
      <c r="B2505" t="s">
        <v>2</v>
      </c>
    </row>
    <row r="2506" spans="1:2" x14ac:dyDescent="0.2">
      <c r="A2506" t="str">
        <f>"CBX4"</f>
        <v>CBX4</v>
      </c>
      <c r="B2506" t="s">
        <v>3</v>
      </c>
    </row>
    <row r="2507" spans="1:2" x14ac:dyDescent="0.2">
      <c r="A2507" t="str">
        <f>"CBX5"</f>
        <v>CBX5</v>
      </c>
      <c r="B2507" t="s">
        <v>2</v>
      </c>
    </row>
    <row r="2508" spans="1:2" x14ac:dyDescent="0.2">
      <c r="A2508" t="str">
        <f>"CBX6"</f>
        <v>CBX6</v>
      </c>
      <c r="B2508" t="s">
        <v>2</v>
      </c>
    </row>
    <row r="2509" spans="1:2" x14ac:dyDescent="0.2">
      <c r="A2509" t="str">
        <f>"CBX7"</f>
        <v>CBX7</v>
      </c>
      <c r="B2509" t="s">
        <v>6</v>
      </c>
    </row>
    <row r="2510" spans="1:2" x14ac:dyDescent="0.2">
      <c r="A2510" t="str">
        <f>"CBX8"</f>
        <v>CBX8</v>
      </c>
      <c r="B2510" t="s">
        <v>2</v>
      </c>
    </row>
    <row r="2511" spans="1:2" x14ac:dyDescent="0.2">
      <c r="A2511" t="str">
        <f>"CBY1"</f>
        <v>CBY1</v>
      </c>
      <c r="B2511" t="s">
        <v>4</v>
      </c>
    </row>
    <row r="2512" spans="1:2" x14ac:dyDescent="0.2">
      <c r="A2512" t="str">
        <f>"CBY3"</f>
        <v>CBY3</v>
      </c>
      <c r="B2512" t="s">
        <v>4</v>
      </c>
    </row>
    <row r="2513" spans="1:2" x14ac:dyDescent="0.2">
      <c r="A2513" t="str">
        <f>"CC2D1A"</f>
        <v>CC2D1A</v>
      </c>
      <c r="B2513" t="s">
        <v>8</v>
      </c>
    </row>
    <row r="2514" spans="1:2" x14ac:dyDescent="0.2">
      <c r="A2514" t="str">
        <f>"CC2D1B"</f>
        <v>CC2D1B</v>
      </c>
      <c r="B2514" t="s">
        <v>4</v>
      </c>
    </row>
    <row r="2515" spans="1:2" x14ac:dyDescent="0.2">
      <c r="A2515" t="str">
        <f>"CC2D2A"</f>
        <v>CC2D2A</v>
      </c>
      <c r="B2515" t="s">
        <v>4</v>
      </c>
    </row>
    <row r="2516" spans="1:2" x14ac:dyDescent="0.2">
      <c r="A2516" t="str">
        <f>"CCAR1"</f>
        <v>CCAR1</v>
      </c>
      <c r="B2516" t="s">
        <v>3</v>
      </c>
    </row>
    <row r="2517" spans="1:2" x14ac:dyDescent="0.2">
      <c r="A2517" t="str">
        <f>"CCAR2"</f>
        <v>CCAR2</v>
      </c>
      <c r="B2517" t="s">
        <v>2</v>
      </c>
    </row>
    <row r="2518" spans="1:2" x14ac:dyDescent="0.2">
      <c r="A2518" t="str">
        <f>"CCBE1"</f>
        <v>CCBE1</v>
      </c>
      <c r="B2518" t="s">
        <v>4</v>
      </c>
    </row>
    <row r="2519" spans="1:2" x14ac:dyDescent="0.2">
      <c r="A2519" t="str">
        <f>"CCBL1"</f>
        <v>CCBL1</v>
      </c>
      <c r="B2519" t="s">
        <v>7</v>
      </c>
    </row>
    <row r="2520" spans="1:2" x14ac:dyDescent="0.2">
      <c r="A2520" t="str">
        <f>"CCBL2"</f>
        <v>CCBL2</v>
      </c>
      <c r="B2520" t="s">
        <v>7</v>
      </c>
    </row>
    <row r="2521" spans="1:2" x14ac:dyDescent="0.2">
      <c r="A2521" t="str">
        <f>"CCDC101"</f>
        <v>CCDC101</v>
      </c>
      <c r="B2521" t="s">
        <v>4</v>
      </c>
    </row>
    <row r="2522" spans="1:2" x14ac:dyDescent="0.2">
      <c r="A2522" t="str">
        <f>"CCDC102A"</f>
        <v>CCDC102A</v>
      </c>
      <c r="B2522" t="s">
        <v>4</v>
      </c>
    </row>
    <row r="2523" spans="1:2" x14ac:dyDescent="0.2">
      <c r="A2523" t="str">
        <f>"CCDC102B"</f>
        <v>CCDC102B</v>
      </c>
      <c r="B2523" t="s">
        <v>4</v>
      </c>
    </row>
    <row r="2524" spans="1:2" x14ac:dyDescent="0.2">
      <c r="A2524" t="str">
        <f>"CCDC103"</f>
        <v>CCDC103</v>
      </c>
      <c r="B2524" t="s">
        <v>3</v>
      </c>
    </row>
    <row r="2525" spans="1:2" x14ac:dyDescent="0.2">
      <c r="A2525" t="str">
        <f>"CCDC104"</f>
        <v>CCDC104</v>
      </c>
      <c r="B2525" t="s">
        <v>4</v>
      </c>
    </row>
    <row r="2526" spans="1:2" x14ac:dyDescent="0.2">
      <c r="A2526" t="str">
        <f>"CCDC105"</f>
        <v>CCDC105</v>
      </c>
      <c r="B2526" t="s">
        <v>4</v>
      </c>
    </row>
    <row r="2527" spans="1:2" x14ac:dyDescent="0.2">
      <c r="A2527" t="str">
        <f>"CCDC106"</f>
        <v>CCDC106</v>
      </c>
      <c r="B2527" t="s">
        <v>4</v>
      </c>
    </row>
    <row r="2528" spans="1:2" x14ac:dyDescent="0.2">
      <c r="A2528" t="str">
        <f>"CCDC107"</f>
        <v>CCDC107</v>
      </c>
      <c r="B2528" t="s">
        <v>4</v>
      </c>
    </row>
    <row r="2529" spans="1:2" x14ac:dyDescent="0.2">
      <c r="A2529" t="str">
        <f>"CCDC108"</f>
        <v>CCDC108</v>
      </c>
      <c r="B2529" t="s">
        <v>5</v>
      </c>
    </row>
    <row r="2530" spans="1:2" x14ac:dyDescent="0.2">
      <c r="A2530" t="str">
        <f>"CCDC109B"</f>
        <v>CCDC109B</v>
      </c>
      <c r="B2530" t="s">
        <v>5</v>
      </c>
    </row>
    <row r="2531" spans="1:2" x14ac:dyDescent="0.2">
      <c r="A2531" t="str">
        <f>"CCDC11"</f>
        <v>CCDC11</v>
      </c>
      <c r="B2531" t="s">
        <v>4</v>
      </c>
    </row>
    <row r="2532" spans="1:2" x14ac:dyDescent="0.2">
      <c r="A2532" t="str">
        <f>"CCDC110"</f>
        <v>CCDC110</v>
      </c>
      <c r="B2532" t="s">
        <v>4</v>
      </c>
    </row>
    <row r="2533" spans="1:2" x14ac:dyDescent="0.2">
      <c r="A2533" t="str">
        <f>"CCDC112"</f>
        <v>CCDC112</v>
      </c>
      <c r="B2533" t="s">
        <v>4</v>
      </c>
    </row>
    <row r="2534" spans="1:2" x14ac:dyDescent="0.2">
      <c r="A2534" t="str">
        <f>"CCDC113"</f>
        <v>CCDC113</v>
      </c>
      <c r="B2534" t="s">
        <v>4</v>
      </c>
    </row>
    <row r="2535" spans="1:2" x14ac:dyDescent="0.2">
      <c r="A2535" t="str">
        <f>"CCDC114"</f>
        <v>CCDC114</v>
      </c>
      <c r="B2535" t="s">
        <v>5</v>
      </c>
    </row>
    <row r="2536" spans="1:2" x14ac:dyDescent="0.2">
      <c r="A2536" t="str">
        <f>"CCDC115"</f>
        <v>CCDC115</v>
      </c>
      <c r="B2536" t="s">
        <v>2</v>
      </c>
    </row>
    <row r="2537" spans="1:2" x14ac:dyDescent="0.2">
      <c r="A2537" t="str">
        <f>"CCDC116"</f>
        <v>CCDC116</v>
      </c>
      <c r="B2537" t="s">
        <v>2</v>
      </c>
    </row>
    <row r="2538" spans="1:2" x14ac:dyDescent="0.2">
      <c r="A2538" t="str">
        <f>"CCDC117"</f>
        <v>CCDC117</v>
      </c>
      <c r="B2538" t="s">
        <v>2</v>
      </c>
    </row>
    <row r="2539" spans="1:2" x14ac:dyDescent="0.2">
      <c r="A2539" t="str">
        <f>"CCDC12"</f>
        <v>CCDC12</v>
      </c>
      <c r="B2539" t="s">
        <v>4</v>
      </c>
    </row>
    <row r="2540" spans="1:2" x14ac:dyDescent="0.2">
      <c r="A2540" t="str">
        <f>"CCDC120"</f>
        <v>CCDC120</v>
      </c>
      <c r="B2540" t="s">
        <v>4</v>
      </c>
    </row>
    <row r="2541" spans="1:2" x14ac:dyDescent="0.2">
      <c r="A2541" t="str">
        <f>"CCDC121"</f>
        <v>CCDC121</v>
      </c>
      <c r="B2541" t="s">
        <v>4</v>
      </c>
    </row>
    <row r="2542" spans="1:2" x14ac:dyDescent="0.2">
      <c r="A2542" t="str">
        <f>"CCDC122"</f>
        <v>CCDC122</v>
      </c>
      <c r="B2542" t="s">
        <v>4</v>
      </c>
    </row>
    <row r="2543" spans="1:2" x14ac:dyDescent="0.2">
      <c r="A2543" t="str">
        <f>"CCDC124"</f>
        <v>CCDC124</v>
      </c>
      <c r="B2543" t="s">
        <v>4</v>
      </c>
    </row>
    <row r="2544" spans="1:2" x14ac:dyDescent="0.2">
      <c r="A2544" t="str">
        <f>"CCDC125"</f>
        <v>CCDC125</v>
      </c>
      <c r="B2544" t="s">
        <v>4</v>
      </c>
    </row>
    <row r="2545" spans="1:2" x14ac:dyDescent="0.2">
      <c r="A2545" t="str">
        <f>"CCDC126"</f>
        <v>CCDC126</v>
      </c>
      <c r="B2545" t="s">
        <v>4</v>
      </c>
    </row>
    <row r="2546" spans="1:2" x14ac:dyDescent="0.2">
      <c r="A2546" t="str">
        <f>"CCDC127"</f>
        <v>CCDC127</v>
      </c>
      <c r="B2546" t="s">
        <v>4</v>
      </c>
    </row>
    <row r="2547" spans="1:2" x14ac:dyDescent="0.2">
      <c r="A2547" t="str">
        <f>"CCDC129"</f>
        <v>CCDC129</v>
      </c>
      <c r="B2547" t="s">
        <v>4</v>
      </c>
    </row>
    <row r="2548" spans="1:2" x14ac:dyDescent="0.2">
      <c r="A2548" t="str">
        <f>"CCDC13"</f>
        <v>CCDC13</v>
      </c>
      <c r="B2548" t="s">
        <v>4</v>
      </c>
    </row>
    <row r="2549" spans="1:2" x14ac:dyDescent="0.2">
      <c r="A2549" t="str">
        <f>"CCDC130"</f>
        <v>CCDC130</v>
      </c>
      <c r="B2549" t="s">
        <v>4</v>
      </c>
    </row>
    <row r="2550" spans="1:2" x14ac:dyDescent="0.2">
      <c r="A2550" t="str">
        <f>"CCDC132"</f>
        <v>CCDC132</v>
      </c>
      <c r="B2550" t="s">
        <v>4</v>
      </c>
    </row>
    <row r="2551" spans="1:2" x14ac:dyDescent="0.2">
      <c r="A2551" t="str">
        <f>"CCDC134"</f>
        <v>CCDC134</v>
      </c>
      <c r="B2551" t="s">
        <v>2</v>
      </c>
    </row>
    <row r="2552" spans="1:2" x14ac:dyDescent="0.2">
      <c r="A2552" t="str">
        <f>"CCDC135"</f>
        <v>CCDC135</v>
      </c>
      <c r="B2552" t="s">
        <v>4</v>
      </c>
    </row>
    <row r="2553" spans="1:2" x14ac:dyDescent="0.2">
      <c r="A2553" t="str">
        <f>"CCDC136"</f>
        <v>CCDC136</v>
      </c>
      <c r="B2553" t="s">
        <v>6</v>
      </c>
    </row>
    <row r="2554" spans="1:2" x14ac:dyDescent="0.2">
      <c r="A2554" t="str">
        <f>"CCDC137"</f>
        <v>CCDC137</v>
      </c>
      <c r="B2554" t="s">
        <v>4</v>
      </c>
    </row>
    <row r="2555" spans="1:2" x14ac:dyDescent="0.2">
      <c r="A2555" t="str">
        <f>"CCDC138"</f>
        <v>CCDC138</v>
      </c>
      <c r="B2555" t="s">
        <v>4</v>
      </c>
    </row>
    <row r="2556" spans="1:2" x14ac:dyDescent="0.2">
      <c r="A2556" t="str">
        <f>"CCDC14"</f>
        <v>CCDC14</v>
      </c>
      <c r="B2556" t="s">
        <v>4</v>
      </c>
    </row>
    <row r="2557" spans="1:2" x14ac:dyDescent="0.2">
      <c r="A2557" t="str">
        <f>"CCDC140"</f>
        <v>CCDC140</v>
      </c>
      <c r="B2557" t="s">
        <v>4</v>
      </c>
    </row>
    <row r="2558" spans="1:2" x14ac:dyDescent="0.2">
      <c r="A2558" t="str">
        <f>"CCDC141"</f>
        <v>CCDC141</v>
      </c>
      <c r="B2558" t="s">
        <v>5</v>
      </c>
    </row>
    <row r="2559" spans="1:2" x14ac:dyDescent="0.2">
      <c r="A2559" t="str">
        <f>"CCDC142"</f>
        <v>CCDC142</v>
      </c>
      <c r="B2559" t="s">
        <v>4</v>
      </c>
    </row>
    <row r="2560" spans="1:2" x14ac:dyDescent="0.2">
      <c r="A2560" t="str">
        <f>"CCDC144A"</f>
        <v>CCDC144A</v>
      </c>
      <c r="B2560" t="s">
        <v>4</v>
      </c>
    </row>
    <row r="2561" spans="1:2" x14ac:dyDescent="0.2">
      <c r="A2561" t="str">
        <f>"CCDC144NL"</f>
        <v>CCDC144NL</v>
      </c>
      <c r="B2561" t="s">
        <v>4</v>
      </c>
    </row>
    <row r="2562" spans="1:2" x14ac:dyDescent="0.2">
      <c r="A2562" t="str">
        <f>"CCDC146"</f>
        <v>CCDC146</v>
      </c>
      <c r="B2562" t="s">
        <v>4</v>
      </c>
    </row>
    <row r="2563" spans="1:2" x14ac:dyDescent="0.2">
      <c r="A2563" t="str">
        <f>"CCDC147"</f>
        <v>CCDC147</v>
      </c>
      <c r="B2563" t="s">
        <v>4</v>
      </c>
    </row>
    <row r="2564" spans="1:2" x14ac:dyDescent="0.2">
      <c r="A2564" t="str">
        <f>"CCDC148"</f>
        <v>CCDC148</v>
      </c>
      <c r="B2564" t="s">
        <v>4</v>
      </c>
    </row>
    <row r="2565" spans="1:2" x14ac:dyDescent="0.2">
      <c r="A2565" t="str">
        <f>"CCDC149"</f>
        <v>CCDC149</v>
      </c>
      <c r="B2565" t="s">
        <v>4</v>
      </c>
    </row>
    <row r="2566" spans="1:2" x14ac:dyDescent="0.2">
      <c r="A2566" t="str">
        <f>"CCDC15"</f>
        <v>CCDC15</v>
      </c>
      <c r="B2566" t="s">
        <v>4</v>
      </c>
    </row>
    <row r="2567" spans="1:2" x14ac:dyDescent="0.2">
      <c r="A2567" t="str">
        <f>"CCDC150"</f>
        <v>CCDC150</v>
      </c>
      <c r="B2567" t="s">
        <v>4</v>
      </c>
    </row>
    <row r="2568" spans="1:2" x14ac:dyDescent="0.2">
      <c r="A2568" t="str">
        <f>"CCDC151"</f>
        <v>CCDC151</v>
      </c>
      <c r="B2568" t="s">
        <v>6</v>
      </c>
    </row>
    <row r="2569" spans="1:2" x14ac:dyDescent="0.2">
      <c r="A2569" t="str">
        <f>"CCDC152"</f>
        <v>CCDC152</v>
      </c>
      <c r="B2569" t="s">
        <v>4</v>
      </c>
    </row>
    <row r="2570" spans="1:2" x14ac:dyDescent="0.2">
      <c r="A2570" t="str">
        <f>"CCDC153"</f>
        <v>CCDC153</v>
      </c>
      <c r="B2570" t="s">
        <v>4</v>
      </c>
    </row>
    <row r="2571" spans="1:2" x14ac:dyDescent="0.2">
      <c r="A2571" t="str">
        <f>"CCDC154"</f>
        <v>CCDC154</v>
      </c>
      <c r="B2571" t="s">
        <v>4</v>
      </c>
    </row>
    <row r="2572" spans="1:2" x14ac:dyDescent="0.2">
      <c r="A2572" t="str">
        <f>"CCDC155"</f>
        <v>CCDC155</v>
      </c>
      <c r="B2572" t="s">
        <v>8</v>
      </c>
    </row>
    <row r="2573" spans="1:2" x14ac:dyDescent="0.2">
      <c r="A2573" t="str">
        <f>"CCDC157"</f>
        <v>CCDC157</v>
      </c>
      <c r="B2573" t="s">
        <v>4</v>
      </c>
    </row>
    <row r="2574" spans="1:2" x14ac:dyDescent="0.2">
      <c r="A2574" t="str">
        <f>"CCDC158"</f>
        <v>CCDC158</v>
      </c>
      <c r="B2574" t="s">
        <v>4</v>
      </c>
    </row>
    <row r="2575" spans="1:2" x14ac:dyDescent="0.2">
      <c r="A2575" t="str">
        <f>"CCDC159"</f>
        <v>CCDC159</v>
      </c>
      <c r="B2575" t="s">
        <v>5</v>
      </c>
    </row>
    <row r="2576" spans="1:2" x14ac:dyDescent="0.2">
      <c r="A2576" t="str">
        <f>"CCDC160"</f>
        <v>CCDC160</v>
      </c>
      <c r="B2576" t="s">
        <v>4</v>
      </c>
    </row>
    <row r="2577" spans="1:2" x14ac:dyDescent="0.2">
      <c r="A2577" t="str">
        <f>"CCDC166"</f>
        <v>CCDC166</v>
      </c>
      <c r="B2577" t="s">
        <v>4</v>
      </c>
    </row>
    <row r="2578" spans="1:2" x14ac:dyDescent="0.2">
      <c r="A2578" t="str">
        <f>"CCDC167"</f>
        <v>CCDC167</v>
      </c>
      <c r="B2578" t="s">
        <v>5</v>
      </c>
    </row>
    <row r="2579" spans="1:2" x14ac:dyDescent="0.2">
      <c r="A2579" t="str">
        <f>"CCDC168"</f>
        <v>CCDC168</v>
      </c>
      <c r="B2579" t="s">
        <v>4</v>
      </c>
    </row>
    <row r="2580" spans="1:2" x14ac:dyDescent="0.2">
      <c r="A2580" t="str">
        <f>"CCDC169"</f>
        <v>CCDC169</v>
      </c>
      <c r="B2580" t="s">
        <v>4</v>
      </c>
    </row>
    <row r="2581" spans="1:2" x14ac:dyDescent="0.2">
      <c r="A2581" t="str">
        <f>"CCDC169-SOHLH2"</f>
        <v>CCDC169-SOHLH2</v>
      </c>
      <c r="B2581" t="s">
        <v>4</v>
      </c>
    </row>
    <row r="2582" spans="1:2" x14ac:dyDescent="0.2">
      <c r="A2582" t="str">
        <f>"CCDC17"</f>
        <v>CCDC17</v>
      </c>
      <c r="B2582" t="s">
        <v>4</v>
      </c>
    </row>
    <row r="2583" spans="1:2" x14ac:dyDescent="0.2">
      <c r="A2583" t="str">
        <f>"CCDC170"</f>
        <v>CCDC170</v>
      </c>
      <c r="B2583" t="s">
        <v>4</v>
      </c>
    </row>
    <row r="2584" spans="1:2" x14ac:dyDescent="0.2">
      <c r="A2584" t="str">
        <f>"CCDC171"</f>
        <v>CCDC171</v>
      </c>
      <c r="B2584" t="s">
        <v>4</v>
      </c>
    </row>
    <row r="2585" spans="1:2" x14ac:dyDescent="0.2">
      <c r="A2585" t="str">
        <f>"CCDC172"</f>
        <v>CCDC172</v>
      </c>
      <c r="B2585" t="s">
        <v>4</v>
      </c>
    </row>
    <row r="2586" spans="1:2" x14ac:dyDescent="0.2">
      <c r="A2586" t="str">
        <f>"CCDC173"</f>
        <v>CCDC173</v>
      </c>
      <c r="B2586" t="s">
        <v>4</v>
      </c>
    </row>
    <row r="2587" spans="1:2" x14ac:dyDescent="0.2">
      <c r="A2587" t="str">
        <f>"CCDC174"</f>
        <v>CCDC174</v>
      </c>
      <c r="B2587" t="s">
        <v>4</v>
      </c>
    </row>
    <row r="2588" spans="1:2" x14ac:dyDescent="0.2">
      <c r="A2588" t="str">
        <f>"CCDC175"</f>
        <v>CCDC175</v>
      </c>
      <c r="B2588" t="s">
        <v>4</v>
      </c>
    </row>
    <row r="2589" spans="1:2" x14ac:dyDescent="0.2">
      <c r="A2589" t="str">
        <f>"CCDC176"</f>
        <v>CCDC176</v>
      </c>
      <c r="B2589" t="s">
        <v>3</v>
      </c>
    </row>
    <row r="2590" spans="1:2" x14ac:dyDescent="0.2">
      <c r="A2590" t="str">
        <f>"CCDC177"</f>
        <v>CCDC177</v>
      </c>
      <c r="B2590" t="s">
        <v>4</v>
      </c>
    </row>
    <row r="2591" spans="1:2" x14ac:dyDescent="0.2">
      <c r="A2591" t="str">
        <f>"CCDC178"</f>
        <v>CCDC178</v>
      </c>
      <c r="B2591" t="s">
        <v>4</v>
      </c>
    </row>
    <row r="2592" spans="1:2" x14ac:dyDescent="0.2">
      <c r="A2592" t="str">
        <f>"CCDC179"</f>
        <v>CCDC179</v>
      </c>
      <c r="B2592" t="s">
        <v>4</v>
      </c>
    </row>
    <row r="2593" spans="1:2" x14ac:dyDescent="0.2">
      <c r="A2593" t="str">
        <f>"CCDC18"</f>
        <v>CCDC18</v>
      </c>
      <c r="B2593" t="s">
        <v>4</v>
      </c>
    </row>
    <row r="2594" spans="1:2" x14ac:dyDescent="0.2">
      <c r="A2594" t="str">
        <f>"CCDC180"</f>
        <v>CCDC180</v>
      </c>
      <c r="B2594" t="s">
        <v>4</v>
      </c>
    </row>
    <row r="2595" spans="1:2" x14ac:dyDescent="0.2">
      <c r="A2595" t="str">
        <f>"CCDC181"</f>
        <v>CCDC181</v>
      </c>
      <c r="B2595" t="s">
        <v>4</v>
      </c>
    </row>
    <row r="2596" spans="1:2" x14ac:dyDescent="0.2">
      <c r="A2596" t="str">
        <f>"CCDC19"</f>
        <v>CCDC19</v>
      </c>
      <c r="B2596" t="s">
        <v>6</v>
      </c>
    </row>
    <row r="2597" spans="1:2" x14ac:dyDescent="0.2">
      <c r="A2597" t="str">
        <f>"CCDC22"</f>
        <v>CCDC22</v>
      </c>
      <c r="B2597" t="s">
        <v>2</v>
      </c>
    </row>
    <row r="2598" spans="1:2" x14ac:dyDescent="0.2">
      <c r="A2598" t="str">
        <f>"CCDC23"</f>
        <v>CCDC23</v>
      </c>
      <c r="B2598" t="s">
        <v>4</v>
      </c>
    </row>
    <row r="2599" spans="1:2" x14ac:dyDescent="0.2">
      <c r="A2599" t="str">
        <f>"CCDC24"</f>
        <v>CCDC24</v>
      </c>
      <c r="B2599" t="s">
        <v>4</v>
      </c>
    </row>
    <row r="2600" spans="1:2" x14ac:dyDescent="0.2">
      <c r="A2600" t="str">
        <f>"CCDC25"</f>
        <v>CCDC25</v>
      </c>
      <c r="B2600" t="s">
        <v>5</v>
      </c>
    </row>
    <row r="2601" spans="1:2" x14ac:dyDescent="0.2">
      <c r="A2601" t="str">
        <f>"CCDC27"</f>
        <v>CCDC27</v>
      </c>
      <c r="B2601" t="s">
        <v>4</v>
      </c>
    </row>
    <row r="2602" spans="1:2" x14ac:dyDescent="0.2">
      <c r="A2602" t="str">
        <f>"CCDC28A"</f>
        <v>CCDC28A</v>
      </c>
      <c r="B2602" t="s">
        <v>4</v>
      </c>
    </row>
    <row r="2603" spans="1:2" x14ac:dyDescent="0.2">
      <c r="A2603" t="str">
        <f>"CCDC28B"</f>
        <v>CCDC28B</v>
      </c>
      <c r="B2603" t="s">
        <v>4</v>
      </c>
    </row>
    <row r="2604" spans="1:2" x14ac:dyDescent="0.2">
      <c r="A2604" t="str">
        <f>"CCDC3"</f>
        <v>CCDC3</v>
      </c>
      <c r="B2604" t="s">
        <v>6</v>
      </c>
    </row>
    <row r="2605" spans="1:2" x14ac:dyDescent="0.2">
      <c r="A2605" t="str">
        <f>"CCDC30"</f>
        <v>CCDC30</v>
      </c>
      <c r="B2605" t="s">
        <v>4</v>
      </c>
    </row>
    <row r="2606" spans="1:2" x14ac:dyDescent="0.2">
      <c r="A2606" t="str">
        <f>"CCDC33"</f>
        <v>CCDC33</v>
      </c>
      <c r="B2606" t="s">
        <v>4</v>
      </c>
    </row>
    <row r="2607" spans="1:2" x14ac:dyDescent="0.2">
      <c r="A2607" t="str">
        <f>"CCDC34"</f>
        <v>CCDC34</v>
      </c>
      <c r="B2607" t="s">
        <v>2</v>
      </c>
    </row>
    <row r="2608" spans="1:2" x14ac:dyDescent="0.2">
      <c r="A2608" t="str">
        <f>"CCDC36"</f>
        <v>CCDC36</v>
      </c>
      <c r="B2608" t="s">
        <v>4</v>
      </c>
    </row>
    <row r="2609" spans="1:2" x14ac:dyDescent="0.2">
      <c r="A2609" t="str">
        <f>"CCDC37"</f>
        <v>CCDC37</v>
      </c>
      <c r="B2609" t="s">
        <v>4</v>
      </c>
    </row>
    <row r="2610" spans="1:2" x14ac:dyDescent="0.2">
      <c r="A2610" t="str">
        <f>"CCDC38"</f>
        <v>CCDC38</v>
      </c>
      <c r="B2610" t="s">
        <v>5</v>
      </c>
    </row>
    <row r="2611" spans="1:2" x14ac:dyDescent="0.2">
      <c r="A2611" t="str">
        <f>"CCDC39"</f>
        <v>CCDC39</v>
      </c>
      <c r="B2611" t="s">
        <v>4</v>
      </c>
    </row>
    <row r="2612" spans="1:2" x14ac:dyDescent="0.2">
      <c r="A2612" t="str">
        <f>"CCDC40"</f>
        <v>CCDC40</v>
      </c>
      <c r="B2612" t="s">
        <v>4</v>
      </c>
    </row>
    <row r="2613" spans="1:2" x14ac:dyDescent="0.2">
      <c r="A2613" t="str">
        <f>"CCDC41"</f>
        <v>CCDC41</v>
      </c>
      <c r="B2613" t="s">
        <v>4</v>
      </c>
    </row>
    <row r="2614" spans="1:2" x14ac:dyDescent="0.2">
      <c r="A2614" t="str">
        <f>"CCDC42"</f>
        <v>CCDC42</v>
      </c>
      <c r="B2614" t="s">
        <v>4</v>
      </c>
    </row>
    <row r="2615" spans="1:2" x14ac:dyDescent="0.2">
      <c r="A2615" t="str">
        <f>"CCDC42B"</f>
        <v>CCDC42B</v>
      </c>
      <c r="B2615" t="s">
        <v>4</v>
      </c>
    </row>
    <row r="2616" spans="1:2" x14ac:dyDescent="0.2">
      <c r="A2616" t="str">
        <f>"CCDC43"</f>
        <v>CCDC43</v>
      </c>
      <c r="B2616" t="s">
        <v>4</v>
      </c>
    </row>
    <row r="2617" spans="1:2" x14ac:dyDescent="0.2">
      <c r="A2617" t="str">
        <f>"CCDC47"</f>
        <v>CCDC47</v>
      </c>
      <c r="B2617" t="s">
        <v>2</v>
      </c>
    </row>
    <row r="2618" spans="1:2" x14ac:dyDescent="0.2">
      <c r="A2618" t="str">
        <f>"CCDC50"</f>
        <v>CCDC50</v>
      </c>
      <c r="B2618" t="s">
        <v>5</v>
      </c>
    </row>
    <row r="2619" spans="1:2" x14ac:dyDescent="0.2">
      <c r="A2619" t="str">
        <f>"CCDC51"</f>
        <v>CCDC51</v>
      </c>
      <c r="B2619" t="s">
        <v>6</v>
      </c>
    </row>
    <row r="2620" spans="1:2" x14ac:dyDescent="0.2">
      <c r="A2620" t="str">
        <f>"CCDC53"</f>
        <v>CCDC53</v>
      </c>
      <c r="B2620" t="s">
        <v>6</v>
      </c>
    </row>
    <row r="2621" spans="1:2" x14ac:dyDescent="0.2">
      <c r="A2621" t="str">
        <f>"CCDC54"</f>
        <v>CCDC54</v>
      </c>
      <c r="B2621" t="s">
        <v>4</v>
      </c>
    </row>
    <row r="2622" spans="1:2" x14ac:dyDescent="0.2">
      <c r="A2622" t="str">
        <f>"CCDC57"</f>
        <v>CCDC57</v>
      </c>
      <c r="B2622" t="s">
        <v>4</v>
      </c>
    </row>
    <row r="2623" spans="1:2" x14ac:dyDescent="0.2">
      <c r="A2623" t="str">
        <f>"CCDC58"</f>
        <v>CCDC58</v>
      </c>
      <c r="B2623" t="s">
        <v>6</v>
      </c>
    </row>
    <row r="2624" spans="1:2" x14ac:dyDescent="0.2">
      <c r="A2624" t="str">
        <f>"CCDC59"</f>
        <v>CCDC59</v>
      </c>
      <c r="B2624" t="s">
        <v>8</v>
      </c>
    </row>
    <row r="2625" spans="1:2" x14ac:dyDescent="0.2">
      <c r="A2625" t="str">
        <f>"CCDC6"</f>
        <v>CCDC6</v>
      </c>
      <c r="B2625" t="s">
        <v>3</v>
      </c>
    </row>
    <row r="2626" spans="1:2" x14ac:dyDescent="0.2">
      <c r="A2626" t="str">
        <f>"CCDC60"</f>
        <v>CCDC60</v>
      </c>
      <c r="B2626" t="s">
        <v>4</v>
      </c>
    </row>
    <row r="2627" spans="1:2" x14ac:dyDescent="0.2">
      <c r="A2627" t="str">
        <f>"CCDC61"</f>
        <v>CCDC61</v>
      </c>
      <c r="B2627" t="s">
        <v>4</v>
      </c>
    </row>
    <row r="2628" spans="1:2" x14ac:dyDescent="0.2">
      <c r="A2628" t="str">
        <f>"CCDC62"</f>
        <v>CCDC62</v>
      </c>
      <c r="B2628" t="s">
        <v>4</v>
      </c>
    </row>
    <row r="2629" spans="1:2" x14ac:dyDescent="0.2">
      <c r="A2629" t="str">
        <f>"CCDC63"</f>
        <v>CCDC63</v>
      </c>
      <c r="B2629" t="s">
        <v>4</v>
      </c>
    </row>
    <row r="2630" spans="1:2" x14ac:dyDescent="0.2">
      <c r="A2630" t="str">
        <f>"CCDC64"</f>
        <v>CCDC64</v>
      </c>
      <c r="B2630" t="s">
        <v>4</v>
      </c>
    </row>
    <row r="2631" spans="1:2" x14ac:dyDescent="0.2">
      <c r="A2631" t="str">
        <f>"CCDC64B"</f>
        <v>CCDC64B</v>
      </c>
      <c r="B2631" t="s">
        <v>4</v>
      </c>
    </row>
    <row r="2632" spans="1:2" x14ac:dyDescent="0.2">
      <c r="A2632" t="str">
        <f>"CCDC65"</f>
        <v>CCDC65</v>
      </c>
      <c r="B2632" t="s">
        <v>4</v>
      </c>
    </row>
    <row r="2633" spans="1:2" x14ac:dyDescent="0.2">
      <c r="A2633" t="str">
        <f>"CCDC66"</f>
        <v>CCDC66</v>
      </c>
      <c r="B2633" t="s">
        <v>4</v>
      </c>
    </row>
    <row r="2634" spans="1:2" x14ac:dyDescent="0.2">
      <c r="A2634" t="str">
        <f>"CCDC67"</f>
        <v>CCDC67</v>
      </c>
      <c r="B2634" t="s">
        <v>4</v>
      </c>
    </row>
    <row r="2635" spans="1:2" x14ac:dyDescent="0.2">
      <c r="A2635" t="str">
        <f>"CCDC68"</f>
        <v>CCDC68</v>
      </c>
      <c r="B2635" t="s">
        <v>4</v>
      </c>
    </row>
    <row r="2636" spans="1:2" x14ac:dyDescent="0.2">
      <c r="A2636" t="str">
        <f>"CCDC69"</f>
        <v>CCDC69</v>
      </c>
      <c r="B2636" t="s">
        <v>4</v>
      </c>
    </row>
    <row r="2637" spans="1:2" x14ac:dyDescent="0.2">
      <c r="A2637" t="str">
        <f>"CCDC7"</f>
        <v>CCDC7</v>
      </c>
      <c r="B2637" t="s">
        <v>4</v>
      </c>
    </row>
    <row r="2638" spans="1:2" x14ac:dyDescent="0.2">
      <c r="A2638" t="str">
        <f>"CCDC70"</f>
        <v>CCDC70</v>
      </c>
      <c r="B2638" t="s">
        <v>4</v>
      </c>
    </row>
    <row r="2639" spans="1:2" x14ac:dyDescent="0.2">
      <c r="A2639" t="str">
        <f>"CCDC71"</f>
        <v>CCDC71</v>
      </c>
      <c r="B2639" t="s">
        <v>8</v>
      </c>
    </row>
    <row r="2640" spans="1:2" x14ac:dyDescent="0.2">
      <c r="A2640" t="str">
        <f>"CCDC71L"</f>
        <v>CCDC71L</v>
      </c>
      <c r="B2640" t="s">
        <v>4</v>
      </c>
    </row>
    <row r="2641" spans="1:2" x14ac:dyDescent="0.2">
      <c r="A2641" t="str">
        <f>"CCDC73"</f>
        <v>CCDC73</v>
      </c>
      <c r="B2641" t="s">
        <v>4</v>
      </c>
    </row>
    <row r="2642" spans="1:2" x14ac:dyDescent="0.2">
      <c r="A2642" t="str">
        <f>"CCDC74A"</f>
        <v>CCDC74A</v>
      </c>
      <c r="B2642" t="s">
        <v>4</v>
      </c>
    </row>
    <row r="2643" spans="1:2" x14ac:dyDescent="0.2">
      <c r="A2643" t="str">
        <f>"CCDC74B"</f>
        <v>CCDC74B</v>
      </c>
      <c r="B2643" t="s">
        <v>4</v>
      </c>
    </row>
    <row r="2644" spans="1:2" x14ac:dyDescent="0.2">
      <c r="A2644" t="str">
        <f>"CCDC77"</f>
        <v>CCDC77</v>
      </c>
      <c r="B2644" t="s">
        <v>4</v>
      </c>
    </row>
    <row r="2645" spans="1:2" x14ac:dyDescent="0.2">
      <c r="A2645" t="str">
        <f>"CCDC78"</f>
        <v>CCDC78</v>
      </c>
      <c r="B2645" t="s">
        <v>4</v>
      </c>
    </row>
    <row r="2646" spans="1:2" x14ac:dyDescent="0.2">
      <c r="A2646" t="str">
        <f>"CCDC79"</f>
        <v>CCDC79</v>
      </c>
      <c r="B2646" t="s">
        <v>2</v>
      </c>
    </row>
    <row r="2647" spans="1:2" x14ac:dyDescent="0.2">
      <c r="A2647" t="str">
        <f>"CCDC8"</f>
        <v>CCDC8</v>
      </c>
      <c r="B2647" t="s">
        <v>4</v>
      </c>
    </row>
    <row r="2648" spans="1:2" x14ac:dyDescent="0.2">
      <c r="A2648" t="str">
        <f>"CCDC80"</f>
        <v>CCDC80</v>
      </c>
      <c r="B2648" t="s">
        <v>2</v>
      </c>
    </row>
    <row r="2649" spans="1:2" x14ac:dyDescent="0.2">
      <c r="A2649" t="str">
        <f>"CCDC81"</f>
        <v>CCDC81</v>
      </c>
      <c r="B2649" t="s">
        <v>8</v>
      </c>
    </row>
    <row r="2650" spans="1:2" x14ac:dyDescent="0.2">
      <c r="A2650" t="str">
        <f>"CCDC82"</f>
        <v>CCDC82</v>
      </c>
      <c r="B2650" t="s">
        <v>4</v>
      </c>
    </row>
    <row r="2651" spans="1:2" x14ac:dyDescent="0.2">
      <c r="A2651" t="str">
        <f>"CCDC83"</f>
        <v>CCDC83</v>
      </c>
      <c r="B2651" t="s">
        <v>4</v>
      </c>
    </row>
    <row r="2652" spans="1:2" x14ac:dyDescent="0.2">
      <c r="A2652" t="str">
        <f>"CCDC84"</f>
        <v>CCDC84</v>
      </c>
      <c r="B2652" t="s">
        <v>4</v>
      </c>
    </row>
    <row r="2653" spans="1:2" x14ac:dyDescent="0.2">
      <c r="A2653" t="str">
        <f>"CCDC85A"</f>
        <v>CCDC85A</v>
      </c>
      <c r="B2653" t="s">
        <v>4</v>
      </c>
    </row>
    <row r="2654" spans="1:2" x14ac:dyDescent="0.2">
      <c r="A2654" t="str">
        <f>"CCDC85B"</f>
        <v>CCDC85B</v>
      </c>
      <c r="B2654" t="s">
        <v>4</v>
      </c>
    </row>
    <row r="2655" spans="1:2" x14ac:dyDescent="0.2">
      <c r="A2655" t="str">
        <f>"CCDC85C"</f>
        <v>CCDC85C</v>
      </c>
      <c r="B2655" t="s">
        <v>4</v>
      </c>
    </row>
    <row r="2656" spans="1:2" x14ac:dyDescent="0.2">
      <c r="A2656" t="str">
        <f>"CCDC86"</f>
        <v>CCDC86</v>
      </c>
      <c r="B2656" t="s">
        <v>4</v>
      </c>
    </row>
    <row r="2657" spans="1:2" x14ac:dyDescent="0.2">
      <c r="A2657" t="str">
        <f>"CCDC87"</f>
        <v>CCDC87</v>
      </c>
      <c r="B2657" t="s">
        <v>4</v>
      </c>
    </row>
    <row r="2658" spans="1:2" x14ac:dyDescent="0.2">
      <c r="A2658" t="str">
        <f>"CCDC88A"</f>
        <v>CCDC88A</v>
      </c>
      <c r="B2658" t="s">
        <v>6</v>
      </c>
    </row>
    <row r="2659" spans="1:2" x14ac:dyDescent="0.2">
      <c r="A2659" t="str">
        <f>"CCDC88B"</f>
        <v>CCDC88B</v>
      </c>
      <c r="B2659" t="s">
        <v>2</v>
      </c>
    </row>
    <row r="2660" spans="1:2" x14ac:dyDescent="0.2">
      <c r="A2660" t="str">
        <f>"CCDC88C"</f>
        <v>CCDC88C</v>
      </c>
      <c r="B2660" t="s">
        <v>4</v>
      </c>
    </row>
    <row r="2661" spans="1:2" x14ac:dyDescent="0.2">
      <c r="A2661" t="str">
        <f>"CCDC89"</f>
        <v>CCDC89</v>
      </c>
      <c r="B2661" t="s">
        <v>4</v>
      </c>
    </row>
    <row r="2662" spans="1:2" x14ac:dyDescent="0.2">
      <c r="A2662" t="str">
        <f>"CCDC9"</f>
        <v>CCDC9</v>
      </c>
      <c r="B2662" t="s">
        <v>4</v>
      </c>
    </row>
    <row r="2663" spans="1:2" x14ac:dyDescent="0.2">
      <c r="A2663" t="str">
        <f>"CCDC90B"</f>
        <v>CCDC90B</v>
      </c>
      <c r="B2663" t="s">
        <v>6</v>
      </c>
    </row>
    <row r="2664" spans="1:2" x14ac:dyDescent="0.2">
      <c r="A2664" t="str">
        <f>"CCDC91"</f>
        <v>CCDC91</v>
      </c>
      <c r="B2664" t="s">
        <v>4</v>
      </c>
    </row>
    <row r="2665" spans="1:2" x14ac:dyDescent="0.2">
      <c r="A2665" t="str">
        <f>"CCDC92"</f>
        <v>CCDC92</v>
      </c>
      <c r="B2665" t="s">
        <v>6</v>
      </c>
    </row>
    <row r="2666" spans="1:2" x14ac:dyDescent="0.2">
      <c r="A2666" t="str">
        <f>"CCDC93"</f>
        <v>CCDC93</v>
      </c>
      <c r="B2666" t="s">
        <v>6</v>
      </c>
    </row>
    <row r="2667" spans="1:2" x14ac:dyDescent="0.2">
      <c r="A2667" t="str">
        <f>"CCDC94"</f>
        <v>CCDC94</v>
      </c>
      <c r="B2667" t="s">
        <v>4</v>
      </c>
    </row>
    <row r="2668" spans="1:2" x14ac:dyDescent="0.2">
      <c r="A2668" t="str">
        <f>"CCDC96"</f>
        <v>CCDC96</v>
      </c>
      <c r="B2668" t="s">
        <v>4</v>
      </c>
    </row>
    <row r="2669" spans="1:2" x14ac:dyDescent="0.2">
      <c r="A2669" t="str">
        <f>"CCDC97"</f>
        <v>CCDC97</v>
      </c>
      <c r="B2669" t="s">
        <v>4</v>
      </c>
    </row>
    <row r="2670" spans="1:2" x14ac:dyDescent="0.2">
      <c r="A2670" t="str">
        <f>"CCER1"</f>
        <v>CCER1</v>
      </c>
      <c r="B2670" t="s">
        <v>4</v>
      </c>
    </row>
    <row r="2671" spans="1:2" x14ac:dyDescent="0.2">
      <c r="A2671" t="str">
        <f>"CCHCR1"</f>
        <v>CCHCR1</v>
      </c>
      <c r="B2671" t="s">
        <v>4</v>
      </c>
    </row>
    <row r="2672" spans="1:2" x14ac:dyDescent="0.2">
      <c r="A2672" t="str">
        <f>"CCIN"</f>
        <v>CCIN</v>
      </c>
      <c r="B2672" t="s">
        <v>2</v>
      </c>
    </row>
    <row r="2673" spans="1:2" x14ac:dyDescent="0.2">
      <c r="A2673" t="str">
        <f>"CCK"</f>
        <v>CCK</v>
      </c>
      <c r="B2673" t="s">
        <v>3</v>
      </c>
    </row>
    <row r="2674" spans="1:2" x14ac:dyDescent="0.2">
      <c r="A2674" t="str">
        <f>"CCKAR"</f>
        <v>CCKAR</v>
      </c>
      <c r="B2674" t="s">
        <v>7</v>
      </c>
    </row>
    <row r="2675" spans="1:2" x14ac:dyDescent="0.2">
      <c r="A2675" t="str">
        <f>"CCKBR"</f>
        <v>CCKBR</v>
      </c>
      <c r="B2675" t="s">
        <v>3</v>
      </c>
    </row>
    <row r="2676" spans="1:2" x14ac:dyDescent="0.2">
      <c r="A2676" t="str">
        <f>"CCL1"</f>
        <v>CCL1</v>
      </c>
      <c r="B2676" t="s">
        <v>4</v>
      </c>
    </row>
    <row r="2677" spans="1:2" x14ac:dyDescent="0.2">
      <c r="A2677" t="str">
        <f>"CCL11"</f>
        <v>CCL11</v>
      </c>
      <c r="B2677" t="s">
        <v>4</v>
      </c>
    </row>
    <row r="2678" spans="1:2" x14ac:dyDescent="0.2">
      <c r="A2678" t="str">
        <f>"CCL13"</f>
        <v>CCL13</v>
      </c>
      <c r="B2678" t="s">
        <v>4</v>
      </c>
    </row>
    <row r="2679" spans="1:2" x14ac:dyDescent="0.2">
      <c r="A2679" t="str">
        <f>"CCL14"</f>
        <v>CCL14</v>
      </c>
      <c r="B2679" t="s">
        <v>4</v>
      </c>
    </row>
    <row r="2680" spans="1:2" x14ac:dyDescent="0.2">
      <c r="A2680" t="str">
        <f>"CCL15"</f>
        <v>CCL15</v>
      </c>
      <c r="B2680" t="s">
        <v>5</v>
      </c>
    </row>
    <row r="2681" spans="1:2" x14ac:dyDescent="0.2">
      <c r="A2681" t="str">
        <f>"CCL16"</f>
        <v>CCL16</v>
      </c>
      <c r="B2681" t="s">
        <v>4</v>
      </c>
    </row>
    <row r="2682" spans="1:2" x14ac:dyDescent="0.2">
      <c r="A2682" t="str">
        <f>"CCL17"</f>
        <v>CCL17</v>
      </c>
      <c r="B2682" t="s">
        <v>4</v>
      </c>
    </row>
    <row r="2683" spans="1:2" x14ac:dyDescent="0.2">
      <c r="A2683" t="str">
        <f>"CCL18"</f>
        <v>CCL18</v>
      </c>
      <c r="B2683" t="s">
        <v>3</v>
      </c>
    </row>
    <row r="2684" spans="1:2" x14ac:dyDescent="0.2">
      <c r="A2684" t="str">
        <f>"CCL19"</f>
        <v>CCL19</v>
      </c>
      <c r="B2684" t="s">
        <v>4</v>
      </c>
    </row>
    <row r="2685" spans="1:2" x14ac:dyDescent="0.2">
      <c r="A2685" t="str">
        <f>"CCL2"</f>
        <v>CCL2</v>
      </c>
      <c r="B2685" t="s">
        <v>3</v>
      </c>
    </row>
    <row r="2686" spans="1:2" x14ac:dyDescent="0.2">
      <c r="A2686" t="str">
        <f>"CCL20"</f>
        <v>CCL20</v>
      </c>
      <c r="B2686" t="s">
        <v>4</v>
      </c>
    </row>
    <row r="2687" spans="1:2" x14ac:dyDescent="0.2">
      <c r="A2687" t="str">
        <f>"CCL21"</f>
        <v>CCL21</v>
      </c>
      <c r="B2687" t="s">
        <v>3</v>
      </c>
    </row>
    <row r="2688" spans="1:2" x14ac:dyDescent="0.2">
      <c r="A2688" t="str">
        <f>"CCL22"</f>
        <v>CCL22</v>
      </c>
      <c r="B2688" t="s">
        <v>3</v>
      </c>
    </row>
    <row r="2689" spans="1:2" x14ac:dyDescent="0.2">
      <c r="A2689" t="str">
        <f>"CCL23"</f>
        <v>CCL23</v>
      </c>
      <c r="B2689" t="s">
        <v>4</v>
      </c>
    </row>
    <row r="2690" spans="1:2" x14ac:dyDescent="0.2">
      <c r="A2690" t="str">
        <f>"CCL24"</f>
        <v>CCL24</v>
      </c>
      <c r="B2690" t="s">
        <v>4</v>
      </c>
    </row>
    <row r="2691" spans="1:2" x14ac:dyDescent="0.2">
      <c r="A2691" t="str">
        <f>"CCL25"</f>
        <v>CCL25</v>
      </c>
      <c r="B2691" t="s">
        <v>4</v>
      </c>
    </row>
    <row r="2692" spans="1:2" x14ac:dyDescent="0.2">
      <c r="A2692" t="str">
        <f>"CCL26"</f>
        <v>CCL26</v>
      </c>
      <c r="B2692" t="s">
        <v>4</v>
      </c>
    </row>
    <row r="2693" spans="1:2" x14ac:dyDescent="0.2">
      <c r="A2693" t="str">
        <f>"CCL27"</f>
        <v>CCL27</v>
      </c>
      <c r="B2693" t="s">
        <v>4</v>
      </c>
    </row>
    <row r="2694" spans="1:2" x14ac:dyDescent="0.2">
      <c r="A2694" t="str">
        <f>"CCL28"</f>
        <v>CCL28</v>
      </c>
      <c r="B2694" t="s">
        <v>4</v>
      </c>
    </row>
    <row r="2695" spans="1:2" x14ac:dyDescent="0.2">
      <c r="A2695" t="str">
        <f>"CCL3"</f>
        <v>CCL3</v>
      </c>
      <c r="B2695" t="s">
        <v>3</v>
      </c>
    </row>
    <row r="2696" spans="1:2" x14ac:dyDescent="0.2">
      <c r="A2696" t="str">
        <f>"CCL3L1"</f>
        <v>CCL3L1</v>
      </c>
      <c r="B2696" t="s">
        <v>6</v>
      </c>
    </row>
    <row r="2697" spans="1:2" x14ac:dyDescent="0.2">
      <c r="A2697" t="str">
        <f>"CCL3L3"</f>
        <v>CCL3L3</v>
      </c>
      <c r="B2697" t="s">
        <v>2</v>
      </c>
    </row>
    <row r="2698" spans="1:2" x14ac:dyDescent="0.2">
      <c r="A2698" t="str">
        <f>"CCL4"</f>
        <v>CCL4</v>
      </c>
      <c r="B2698" t="s">
        <v>3</v>
      </c>
    </row>
    <row r="2699" spans="1:2" x14ac:dyDescent="0.2">
      <c r="A2699" t="str">
        <f>"CCL4L1"</f>
        <v>CCL4L1</v>
      </c>
      <c r="B2699" t="s">
        <v>4</v>
      </c>
    </row>
    <row r="2700" spans="1:2" x14ac:dyDescent="0.2">
      <c r="A2700" t="str">
        <f>"CCL4L2"</f>
        <v>CCL4L2</v>
      </c>
      <c r="B2700" t="s">
        <v>4</v>
      </c>
    </row>
    <row r="2701" spans="1:2" x14ac:dyDescent="0.2">
      <c r="A2701" t="str">
        <f>"CCL5"</f>
        <v>CCL5</v>
      </c>
      <c r="B2701" t="s">
        <v>3</v>
      </c>
    </row>
    <row r="2702" spans="1:2" x14ac:dyDescent="0.2">
      <c r="A2702" t="str">
        <f>"CCL7"</f>
        <v>CCL7</v>
      </c>
      <c r="B2702" t="s">
        <v>5</v>
      </c>
    </row>
    <row r="2703" spans="1:2" x14ac:dyDescent="0.2">
      <c r="A2703" t="str">
        <f>"CCL8"</f>
        <v>CCL8</v>
      </c>
      <c r="B2703" t="s">
        <v>7</v>
      </c>
    </row>
    <row r="2704" spans="1:2" x14ac:dyDescent="0.2">
      <c r="A2704" t="str">
        <f>"CCM2"</f>
        <v>CCM2</v>
      </c>
      <c r="B2704" t="s">
        <v>4</v>
      </c>
    </row>
    <row r="2705" spans="1:2" x14ac:dyDescent="0.2">
      <c r="A2705" t="str">
        <f>"CCM2L"</f>
        <v>CCM2L</v>
      </c>
      <c r="B2705" t="s">
        <v>5</v>
      </c>
    </row>
    <row r="2706" spans="1:2" x14ac:dyDescent="0.2">
      <c r="A2706" t="str">
        <f>"CCNA1"</f>
        <v>CCNA1</v>
      </c>
      <c r="B2706" t="s">
        <v>3</v>
      </c>
    </row>
    <row r="2707" spans="1:2" x14ac:dyDescent="0.2">
      <c r="A2707" t="str">
        <f>"CCNA2"</f>
        <v>CCNA2</v>
      </c>
      <c r="B2707" t="s">
        <v>3</v>
      </c>
    </row>
    <row r="2708" spans="1:2" x14ac:dyDescent="0.2">
      <c r="A2708" t="str">
        <f>"CCNB1"</f>
        <v>CCNB1</v>
      </c>
      <c r="B2708" t="s">
        <v>3</v>
      </c>
    </row>
    <row r="2709" spans="1:2" x14ac:dyDescent="0.2">
      <c r="A2709" t="str">
        <f>"CCNB1IP1"</f>
        <v>CCNB1IP1</v>
      </c>
      <c r="B2709" t="s">
        <v>3</v>
      </c>
    </row>
    <row r="2710" spans="1:2" x14ac:dyDescent="0.2">
      <c r="A2710" t="str">
        <f>"CCNB2"</f>
        <v>CCNB2</v>
      </c>
      <c r="B2710" t="s">
        <v>3</v>
      </c>
    </row>
    <row r="2711" spans="1:2" x14ac:dyDescent="0.2">
      <c r="A2711" t="str">
        <f>"CCNB3"</f>
        <v>CCNB3</v>
      </c>
      <c r="B2711" t="s">
        <v>3</v>
      </c>
    </row>
    <row r="2712" spans="1:2" x14ac:dyDescent="0.2">
      <c r="A2712" t="str">
        <f>"CCNC"</f>
        <v>CCNC</v>
      </c>
      <c r="B2712" t="s">
        <v>3</v>
      </c>
    </row>
    <row r="2713" spans="1:2" x14ac:dyDescent="0.2">
      <c r="A2713" t="str">
        <f>"CCND1"</f>
        <v>CCND1</v>
      </c>
      <c r="B2713" t="s">
        <v>3</v>
      </c>
    </row>
    <row r="2714" spans="1:2" x14ac:dyDescent="0.2">
      <c r="A2714" t="str">
        <f>"CCND2"</f>
        <v>CCND2</v>
      </c>
      <c r="B2714" t="s">
        <v>3</v>
      </c>
    </row>
    <row r="2715" spans="1:2" x14ac:dyDescent="0.2">
      <c r="A2715" t="str">
        <f>"CCND3"</f>
        <v>CCND3</v>
      </c>
      <c r="B2715" t="s">
        <v>3</v>
      </c>
    </row>
    <row r="2716" spans="1:2" x14ac:dyDescent="0.2">
      <c r="A2716" t="str">
        <f>"CCNDBP1"</f>
        <v>CCNDBP1</v>
      </c>
      <c r="B2716" t="s">
        <v>4</v>
      </c>
    </row>
    <row r="2717" spans="1:2" x14ac:dyDescent="0.2">
      <c r="A2717" t="str">
        <f>"CCNE1"</f>
        <v>CCNE1</v>
      </c>
      <c r="B2717" t="s">
        <v>3</v>
      </c>
    </row>
    <row r="2718" spans="1:2" x14ac:dyDescent="0.2">
      <c r="A2718" t="str">
        <f>"CCNE2"</f>
        <v>CCNE2</v>
      </c>
      <c r="B2718" t="s">
        <v>3</v>
      </c>
    </row>
    <row r="2719" spans="1:2" x14ac:dyDescent="0.2">
      <c r="A2719" t="str">
        <f>"CCNF"</f>
        <v>CCNF</v>
      </c>
      <c r="B2719" t="s">
        <v>3</v>
      </c>
    </row>
    <row r="2720" spans="1:2" x14ac:dyDescent="0.2">
      <c r="A2720" t="str">
        <f>"CCNG1"</f>
        <v>CCNG1</v>
      </c>
      <c r="B2720" t="s">
        <v>3</v>
      </c>
    </row>
    <row r="2721" spans="1:2" x14ac:dyDescent="0.2">
      <c r="A2721" t="str">
        <f>"CCNG2"</f>
        <v>CCNG2</v>
      </c>
      <c r="B2721" t="s">
        <v>3</v>
      </c>
    </row>
    <row r="2722" spans="1:2" x14ac:dyDescent="0.2">
      <c r="A2722" t="str">
        <f>"CCNH"</f>
        <v>CCNH</v>
      </c>
      <c r="B2722" t="s">
        <v>3</v>
      </c>
    </row>
    <row r="2723" spans="1:2" x14ac:dyDescent="0.2">
      <c r="A2723" t="str">
        <f>"CCNI"</f>
        <v>CCNI</v>
      </c>
      <c r="B2723" t="s">
        <v>3</v>
      </c>
    </row>
    <row r="2724" spans="1:2" x14ac:dyDescent="0.2">
      <c r="A2724" t="str">
        <f>"CCNI2"</f>
        <v>CCNI2</v>
      </c>
      <c r="B2724" t="s">
        <v>4</v>
      </c>
    </row>
    <row r="2725" spans="1:2" x14ac:dyDescent="0.2">
      <c r="A2725" t="str">
        <f>"CCNJ"</f>
        <v>CCNJ</v>
      </c>
      <c r="B2725" t="s">
        <v>3</v>
      </c>
    </row>
    <row r="2726" spans="1:2" x14ac:dyDescent="0.2">
      <c r="A2726" t="str">
        <f>"CCNJL"</f>
        <v>CCNJL</v>
      </c>
      <c r="B2726" t="s">
        <v>5</v>
      </c>
    </row>
    <row r="2727" spans="1:2" x14ac:dyDescent="0.2">
      <c r="A2727" t="str">
        <f>"CCNK"</f>
        <v>CCNK</v>
      </c>
      <c r="B2727" t="s">
        <v>3</v>
      </c>
    </row>
    <row r="2728" spans="1:2" x14ac:dyDescent="0.2">
      <c r="A2728" t="str">
        <f>"CCNL1"</f>
        <v>CCNL1</v>
      </c>
      <c r="B2728" t="s">
        <v>3</v>
      </c>
    </row>
    <row r="2729" spans="1:2" x14ac:dyDescent="0.2">
      <c r="A2729" t="str">
        <f>"CCNL2"</f>
        <v>CCNL2</v>
      </c>
      <c r="B2729" t="s">
        <v>8</v>
      </c>
    </row>
    <row r="2730" spans="1:2" x14ac:dyDescent="0.2">
      <c r="A2730" t="str">
        <f>"CCNO"</f>
        <v>CCNO</v>
      </c>
      <c r="B2730" t="s">
        <v>3</v>
      </c>
    </row>
    <row r="2731" spans="1:2" x14ac:dyDescent="0.2">
      <c r="A2731" t="str">
        <f>"CCNT1"</f>
        <v>CCNT1</v>
      </c>
      <c r="B2731" t="s">
        <v>3</v>
      </c>
    </row>
    <row r="2732" spans="1:2" x14ac:dyDescent="0.2">
      <c r="A2732" t="str">
        <f>"CCNT2"</f>
        <v>CCNT2</v>
      </c>
      <c r="B2732" t="s">
        <v>3</v>
      </c>
    </row>
    <row r="2733" spans="1:2" x14ac:dyDescent="0.2">
      <c r="A2733" t="str">
        <f>"CCNY"</f>
        <v>CCNY</v>
      </c>
      <c r="B2733" t="s">
        <v>3</v>
      </c>
    </row>
    <row r="2734" spans="1:2" x14ac:dyDescent="0.2">
      <c r="A2734" t="str">
        <f>"CCNYL1"</f>
        <v>CCNYL1</v>
      </c>
      <c r="B2734" t="s">
        <v>4</v>
      </c>
    </row>
    <row r="2735" spans="1:2" x14ac:dyDescent="0.2">
      <c r="A2735" t="str">
        <f>"CCP110"</f>
        <v>CCP110</v>
      </c>
      <c r="B2735" t="s">
        <v>3</v>
      </c>
    </row>
    <row r="2736" spans="1:2" x14ac:dyDescent="0.2">
      <c r="A2736" t="str">
        <f>"CCPG1"</f>
        <v>CCPG1</v>
      </c>
      <c r="B2736" t="s">
        <v>3</v>
      </c>
    </row>
    <row r="2737" spans="1:2" x14ac:dyDescent="0.2">
      <c r="A2737" t="str">
        <f>"CCR1"</f>
        <v>CCR1</v>
      </c>
      <c r="B2737" t="s">
        <v>3</v>
      </c>
    </row>
    <row r="2738" spans="1:2" x14ac:dyDescent="0.2">
      <c r="A2738" t="str">
        <f>"CCR10"</f>
        <v>CCR10</v>
      </c>
      <c r="B2738" t="s">
        <v>5</v>
      </c>
    </row>
    <row r="2739" spans="1:2" x14ac:dyDescent="0.2">
      <c r="A2739" t="str">
        <f>"CCR2"</f>
        <v>CCR2</v>
      </c>
      <c r="B2739" t="s">
        <v>5</v>
      </c>
    </row>
    <row r="2740" spans="1:2" x14ac:dyDescent="0.2">
      <c r="A2740" t="str">
        <f>"CCR3"</f>
        <v>CCR3</v>
      </c>
      <c r="B2740" t="s">
        <v>5</v>
      </c>
    </row>
    <row r="2741" spans="1:2" x14ac:dyDescent="0.2">
      <c r="A2741" t="str">
        <f>"CCR4"</f>
        <v>CCR4</v>
      </c>
      <c r="B2741" t="s">
        <v>5</v>
      </c>
    </row>
    <row r="2742" spans="1:2" x14ac:dyDescent="0.2">
      <c r="A2742" t="str">
        <f>"CCR5"</f>
        <v>CCR5</v>
      </c>
      <c r="B2742" t="s">
        <v>7</v>
      </c>
    </row>
    <row r="2743" spans="1:2" x14ac:dyDescent="0.2">
      <c r="A2743" t="str">
        <f>"CCR6"</f>
        <v>CCR6</v>
      </c>
      <c r="B2743" t="s">
        <v>5</v>
      </c>
    </row>
    <row r="2744" spans="1:2" x14ac:dyDescent="0.2">
      <c r="A2744" t="str">
        <f>"CCR7"</f>
        <v>CCR7</v>
      </c>
      <c r="B2744" t="s">
        <v>5</v>
      </c>
    </row>
    <row r="2745" spans="1:2" x14ac:dyDescent="0.2">
      <c r="A2745" t="str">
        <f>"CCR8"</f>
        <v>CCR8</v>
      </c>
      <c r="B2745" t="s">
        <v>5</v>
      </c>
    </row>
    <row r="2746" spans="1:2" x14ac:dyDescent="0.2">
      <c r="A2746" t="str">
        <f>"CCR9"</f>
        <v>CCR9</v>
      </c>
      <c r="B2746" t="s">
        <v>5</v>
      </c>
    </row>
    <row r="2747" spans="1:2" x14ac:dyDescent="0.2">
      <c r="A2747" t="str">
        <f>"CCRL2"</f>
        <v>CCRL2</v>
      </c>
      <c r="B2747" t="s">
        <v>5</v>
      </c>
    </row>
    <row r="2748" spans="1:2" x14ac:dyDescent="0.2">
      <c r="A2748" t="str">
        <f>"CCRN4L"</f>
        <v>CCRN4L</v>
      </c>
      <c r="B2748" t="s">
        <v>8</v>
      </c>
    </row>
    <row r="2749" spans="1:2" x14ac:dyDescent="0.2">
      <c r="A2749" t="str">
        <f>"CCS"</f>
        <v>CCS</v>
      </c>
      <c r="B2749" t="s">
        <v>2</v>
      </c>
    </row>
    <row r="2750" spans="1:2" x14ac:dyDescent="0.2">
      <c r="A2750" t="str">
        <f>"CCSAP"</f>
        <v>CCSAP</v>
      </c>
      <c r="B2750" t="s">
        <v>4</v>
      </c>
    </row>
    <row r="2751" spans="1:2" x14ac:dyDescent="0.2">
      <c r="A2751" t="str">
        <f>"CCSER1"</f>
        <v>CCSER1</v>
      </c>
      <c r="B2751" t="s">
        <v>4</v>
      </c>
    </row>
    <row r="2752" spans="1:2" x14ac:dyDescent="0.2">
      <c r="A2752" t="str">
        <f>"CCSER2"</f>
        <v>CCSER2</v>
      </c>
      <c r="B2752" t="s">
        <v>4</v>
      </c>
    </row>
    <row r="2753" spans="1:2" x14ac:dyDescent="0.2">
      <c r="A2753" t="str">
        <f>"CCT2"</f>
        <v>CCT2</v>
      </c>
      <c r="B2753" t="s">
        <v>2</v>
      </c>
    </row>
    <row r="2754" spans="1:2" x14ac:dyDescent="0.2">
      <c r="A2754" t="str">
        <f>"CCT3"</f>
        <v>CCT3</v>
      </c>
      <c r="B2754" t="s">
        <v>7</v>
      </c>
    </row>
    <row r="2755" spans="1:2" x14ac:dyDescent="0.2">
      <c r="A2755" t="str">
        <f>"CCT4"</f>
        <v>CCT4</v>
      </c>
      <c r="B2755" t="s">
        <v>2</v>
      </c>
    </row>
    <row r="2756" spans="1:2" x14ac:dyDescent="0.2">
      <c r="A2756" t="str">
        <f>"CCT5"</f>
        <v>CCT5</v>
      </c>
      <c r="B2756" t="s">
        <v>2</v>
      </c>
    </row>
    <row r="2757" spans="1:2" x14ac:dyDescent="0.2">
      <c r="A2757" t="str">
        <f>"CCT6A"</f>
        <v>CCT6A</v>
      </c>
      <c r="B2757" t="s">
        <v>2</v>
      </c>
    </row>
    <row r="2758" spans="1:2" x14ac:dyDescent="0.2">
      <c r="A2758" t="str">
        <f>"CCT6B"</f>
        <v>CCT6B</v>
      </c>
      <c r="B2758" t="s">
        <v>2</v>
      </c>
    </row>
    <row r="2759" spans="1:2" x14ac:dyDescent="0.2">
      <c r="A2759" t="str">
        <f>"CCT7"</f>
        <v>CCT7</v>
      </c>
      <c r="B2759" t="s">
        <v>2</v>
      </c>
    </row>
    <row r="2760" spans="1:2" x14ac:dyDescent="0.2">
      <c r="A2760" t="str">
        <f>"CCT8"</f>
        <v>CCT8</v>
      </c>
      <c r="B2760" t="s">
        <v>2</v>
      </c>
    </row>
    <row r="2761" spans="1:2" x14ac:dyDescent="0.2">
      <c r="A2761" t="str">
        <f>"CCT8L2"</f>
        <v>CCT8L2</v>
      </c>
      <c r="B2761" t="s">
        <v>2</v>
      </c>
    </row>
    <row r="2762" spans="1:2" x14ac:dyDescent="0.2">
      <c r="A2762" t="str">
        <f>"CCZ1"</f>
        <v>CCZ1</v>
      </c>
      <c r="B2762" t="s">
        <v>3</v>
      </c>
    </row>
    <row r="2763" spans="1:2" x14ac:dyDescent="0.2">
      <c r="A2763" t="str">
        <f>"CCZ1B"</f>
        <v>CCZ1B</v>
      </c>
      <c r="B2763" t="s">
        <v>3</v>
      </c>
    </row>
    <row r="2764" spans="1:2" x14ac:dyDescent="0.2">
      <c r="A2764" t="str">
        <f>"CD101"</f>
        <v>CD101</v>
      </c>
      <c r="B2764" t="s">
        <v>5</v>
      </c>
    </row>
    <row r="2765" spans="1:2" x14ac:dyDescent="0.2">
      <c r="A2765" t="str">
        <f>"CD109"</f>
        <v>CD109</v>
      </c>
      <c r="B2765" t="s">
        <v>3</v>
      </c>
    </row>
    <row r="2766" spans="1:2" x14ac:dyDescent="0.2">
      <c r="A2766" t="str">
        <f>"CD14"</f>
        <v>CD14</v>
      </c>
      <c r="B2766" t="s">
        <v>6</v>
      </c>
    </row>
    <row r="2767" spans="1:2" x14ac:dyDescent="0.2">
      <c r="A2767" t="str">
        <f>"CD151"</f>
        <v>CD151</v>
      </c>
      <c r="B2767" t="s">
        <v>5</v>
      </c>
    </row>
    <row r="2768" spans="1:2" x14ac:dyDescent="0.2">
      <c r="A2768" t="str">
        <f>"CD160"</f>
        <v>CD160</v>
      </c>
      <c r="B2768" t="s">
        <v>3</v>
      </c>
    </row>
    <row r="2769" spans="1:2" x14ac:dyDescent="0.2">
      <c r="A2769" t="str">
        <f>"CD163"</f>
        <v>CD163</v>
      </c>
      <c r="B2769" t="s">
        <v>5</v>
      </c>
    </row>
    <row r="2770" spans="1:2" x14ac:dyDescent="0.2">
      <c r="A2770" t="str">
        <f>"CD163L1"</f>
        <v>CD163L1</v>
      </c>
      <c r="B2770" t="s">
        <v>5</v>
      </c>
    </row>
    <row r="2771" spans="1:2" x14ac:dyDescent="0.2">
      <c r="A2771" t="str">
        <f>"CD164"</f>
        <v>CD164</v>
      </c>
      <c r="B2771" t="s">
        <v>2</v>
      </c>
    </row>
    <row r="2772" spans="1:2" x14ac:dyDescent="0.2">
      <c r="A2772" t="str">
        <f>"CD164L2"</f>
        <v>CD164L2</v>
      </c>
      <c r="B2772" t="s">
        <v>5</v>
      </c>
    </row>
    <row r="2773" spans="1:2" x14ac:dyDescent="0.2">
      <c r="A2773" t="str">
        <f>"CD177"</f>
        <v>CD177</v>
      </c>
      <c r="B2773" t="s">
        <v>4</v>
      </c>
    </row>
    <row r="2774" spans="1:2" x14ac:dyDescent="0.2">
      <c r="A2774" t="str">
        <f>"CD180"</f>
        <v>CD180</v>
      </c>
      <c r="B2774" t="s">
        <v>3</v>
      </c>
    </row>
    <row r="2775" spans="1:2" x14ac:dyDescent="0.2">
      <c r="A2775" t="str">
        <f>"CD19"</f>
        <v>CD19</v>
      </c>
      <c r="B2775" t="s">
        <v>3</v>
      </c>
    </row>
    <row r="2776" spans="1:2" x14ac:dyDescent="0.2">
      <c r="A2776" t="str">
        <f>"CD1A"</f>
        <v>CD1A</v>
      </c>
      <c r="B2776" t="s">
        <v>7</v>
      </c>
    </row>
    <row r="2777" spans="1:2" x14ac:dyDescent="0.2">
      <c r="A2777" t="str">
        <f>"CD1B"</f>
        <v>CD1B</v>
      </c>
      <c r="B2777" t="s">
        <v>6</v>
      </c>
    </row>
    <row r="2778" spans="1:2" x14ac:dyDescent="0.2">
      <c r="A2778" t="str">
        <f>"CD1C"</f>
        <v>CD1C</v>
      </c>
      <c r="B2778" t="s">
        <v>5</v>
      </c>
    </row>
    <row r="2779" spans="1:2" x14ac:dyDescent="0.2">
      <c r="A2779" t="str">
        <f>"CD1D"</f>
        <v>CD1D</v>
      </c>
      <c r="B2779" t="s">
        <v>7</v>
      </c>
    </row>
    <row r="2780" spans="1:2" x14ac:dyDescent="0.2">
      <c r="A2780" t="str">
        <f>"CD1E"</f>
        <v>CD1E</v>
      </c>
      <c r="B2780" t="s">
        <v>5</v>
      </c>
    </row>
    <row r="2781" spans="1:2" x14ac:dyDescent="0.2">
      <c r="A2781" t="str">
        <f>"CD2"</f>
        <v>CD2</v>
      </c>
      <c r="B2781" t="s">
        <v>3</v>
      </c>
    </row>
    <row r="2782" spans="1:2" x14ac:dyDescent="0.2">
      <c r="A2782" t="str">
        <f>"CD200"</f>
        <v>CD200</v>
      </c>
      <c r="B2782" t="s">
        <v>5</v>
      </c>
    </row>
    <row r="2783" spans="1:2" x14ac:dyDescent="0.2">
      <c r="A2783" t="str">
        <f>"CD200R1"</f>
        <v>CD200R1</v>
      </c>
      <c r="B2783" t="s">
        <v>4</v>
      </c>
    </row>
    <row r="2784" spans="1:2" x14ac:dyDescent="0.2">
      <c r="A2784" t="str">
        <f>"CD200R1L"</f>
        <v>CD200R1L</v>
      </c>
      <c r="B2784" t="s">
        <v>5</v>
      </c>
    </row>
    <row r="2785" spans="1:2" x14ac:dyDescent="0.2">
      <c r="A2785" t="str">
        <f>"CD207"</f>
        <v>CD207</v>
      </c>
      <c r="B2785" t="s">
        <v>2</v>
      </c>
    </row>
    <row r="2786" spans="1:2" x14ac:dyDescent="0.2">
      <c r="A2786" t="str">
        <f>"CD209"</f>
        <v>CD209</v>
      </c>
      <c r="B2786" t="s">
        <v>7</v>
      </c>
    </row>
    <row r="2787" spans="1:2" x14ac:dyDescent="0.2">
      <c r="A2787" t="str">
        <f>"CD22"</f>
        <v>CD22</v>
      </c>
      <c r="B2787" t="s">
        <v>5</v>
      </c>
    </row>
    <row r="2788" spans="1:2" x14ac:dyDescent="0.2">
      <c r="A2788" t="str">
        <f>"CD226"</f>
        <v>CD226</v>
      </c>
      <c r="B2788" t="s">
        <v>5</v>
      </c>
    </row>
    <row r="2789" spans="1:2" x14ac:dyDescent="0.2">
      <c r="A2789" t="str">
        <f>"CD24"</f>
        <v>CD24</v>
      </c>
      <c r="B2789" t="s">
        <v>4</v>
      </c>
    </row>
    <row r="2790" spans="1:2" x14ac:dyDescent="0.2">
      <c r="A2790" t="str">
        <f>"CD244"</f>
        <v>CD244</v>
      </c>
      <c r="B2790" t="s">
        <v>5</v>
      </c>
    </row>
    <row r="2791" spans="1:2" x14ac:dyDescent="0.2">
      <c r="A2791" t="str">
        <f>"CD247"</f>
        <v>CD247</v>
      </c>
      <c r="B2791" t="s">
        <v>7</v>
      </c>
    </row>
    <row r="2792" spans="1:2" x14ac:dyDescent="0.2">
      <c r="A2792" t="str">
        <f>"CD248"</f>
        <v>CD248</v>
      </c>
      <c r="B2792" t="s">
        <v>5</v>
      </c>
    </row>
    <row r="2793" spans="1:2" x14ac:dyDescent="0.2">
      <c r="A2793" t="str">
        <f>"CD27"</f>
        <v>CD27</v>
      </c>
      <c r="B2793" t="s">
        <v>3</v>
      </c>
    </row>
    <row r="2794" spans="1:2" x14ac:dyDescent="0.2">
      <c r="A2794" t="str">
        <f>"CD274"</f>
        <v>CD274</v>
      </c>
      <c r="B2794" t="s">
        <v>4</v>
      </c>
    </row>
    <row r="2795" spans="1:2" x14ac:dyDescent="0.2">
      <c r="A2795" t="str">
        <f>"CD276"</f>
        <v>CD276</v>
      </c>
      <c r="B2795" t="s">
        <v>5</v>
      </c>
    </row>
    <row r="2796" spans="1:2" x14ac:dyDescent="0.2">
      <c r="A2796" t="str">
        <f>"CD28"</f>
        <v>CD28</v>
      </c>
      <c r="B2796" t="s">
        <v>3</v>
      </c>
    </row>
    <row r="2797" spans="1:2" x14ac:dyDescent="0.2">
      <c r="A2797" t="str">
        <f>"CD2AP"</f>
        <v>CD2AP</v>
      </c>
      <c r="B2797" t="s">
        <v>3</v>
      </c>
    </row>
    <row r="2798" spans="1:2" x14ac:dyDescent="0.2">
      <c r="A2798" t="str">
        <f>"CD2BP2"</f>
        <v>CD2BP2</v>
      </c>
      <c r="B2798" t="s">
        <v>2</v>
      </c>
    </row>
    <row r="2799" spans="1:2" x14ac:dyDescent="0.2">
      <c r="A2799" t="str">
        <f>"CD300A"</f>
        <v>CD300A</v>
      </c>
      <c r="B2799" t="s">
        <v>5</v>
      </c>
    </row>
    <row r="2800" spans="1:2" x14ac:dyDescent="0.2">
      <c r="A2800" t="str">
        <f>"CD300C"</f>
        <v>CD300C</v>
      </c>
      <c r="B2800" t="s">
        <v>5</v>
      </c>
    </row>
    <row r="2801" spans="1:2" x14ac:dyDescent="0.2">
      <c r="A2801" t="str">
        <f>"CD300E"</f>
        <v>CD300E</v>
      </c>
      <c r="B2801" t="s">
        <v>6</v>
      </c>
    </row>
    <row r="2802" spans="1:2" x14ac:dyDescent="0.2">
      <c r="A2802" t="str">
        <f>"CD300LB"</f>
        <v>CD300LB</v>
      </c>
      <c r="B2802" t="s">
        <v>5</v>
      </c>
    </row>
    <row r="2803" spans="1:2" x14ac:dyDescent="0.2">
      <c r="A2803" t="str">
        <f>"CD300LD"</f>
        <v>CD300LD</v>
      </c>
      <c r="B2803" t="s">
        <v>5</v>
      </c>
    </row>
    <row r="2804" spans="1:2" x14ac:dyDescent="0.2">
      <c r="A2804" t="str">
        <f>"CD300LF"</f>
        <v>CD300LF</v>
      </c>
      <c r="B2804" t="s">
        <v>5</v>
      </c>
    </row>
    <row r="2805" spans="1:2" x14ac:dyDescent="0.2">
      <c r="A2805" t="str">
        <f>"CD300LG"</f>
        <v>CD300LG</v>
      </c>
      <c r="B2805" t="s">
        <v>2</v>
      </c>
    </row>
    <row r="2806" spans="1:2" x14ac:dyDescent="0.2">
      <c r="A2806" t="str">
        <f>"CD302"</f>
        <v>CD302</v>
      </c>
      <c r="B2806" t="s">
        <v>6</v>
      </c>
    </row>
    <row r="2807" spans="1:2" x14ac:dyDescent="0.2">
      <c r="A2807" t="str">
        <f>"CD320"</f>
        <v>CD320</v>
      </c>
      <c r="B2807" t="s">
        <v>6</v>
      </c>
    </row>
    <row r="2808" spans="1:2" x14ac:dyDescent="0.2">
      <c r="A2808" t="str">
        <f>"CD33"</f>
        <v>CD33</v>
      </c>
      <c r="B2808" t="s">
        <v>7</v>
      </c>
    </row>
    <row r="2809" spans="1:2" x14ac:dyDescent="0.2">
      <c r="A2809" t="str">
        <f>"CD34"</f>
        <v>CD34</v>
      </c>
      <c r="B2809" t="s">
        <v>5</v>
      </c>
    </row>
    <row r="2810" spans="1:2" x14ac:dyDescent="0.2">
      <c r="A2810" t="str">
        <f>"CD36"</f>
        <v>CD36</v>
      </c>
      <c r="B2810" t="s">
        <v>3</v>
      </c>
    </row>
    <row r="2811" spans="1:2" x14ac:dyDescent="0.2">
      <c r="A2811" t="str">
        <f>"CD37"</f>
        <v>CD37</v>
      </c>
      <c r="B2811" t="s">
        <v>5</v>
      </c>
    </row>
    <row r="2812" spans="1:2" x14ac:dyDescent="0.2">
      <c r="A2812" t="str">
        <f>"CD38"</f>
        <v>CD38</v>
      </c>
      <c r="B2812" t="s">
        <v>3</v>
      </c>
    </row>
    <row r="2813" spans="1:2" x14ac:dyDescent="0.2">
      <c r="A2813" t="str">
        <f>"CD3D"</f>
        <v>CD3D</v>
      </c>
      <c r="B2813" t="s">
        <v>7</v>
      </c>
    </row>
    <row r="2814" spans="1:2" x14ac:dyDescent="0.2">
      <c r="A2814" t="str">
        <f>"CD3E"</f>
        <v>CD3E</v>
      </c>
      <c r="B2814" t="s">
        <v>7</v>
      </c>
    </row>
    <row r="2815" spans="1:2" x14ac:dyDescent="0.2">
      <c r="A2815" t="str">
        <f>"CD3EAP"</f>
        <v>CD3EAP</v>
      </c>
      <c r="B2815" t="s">
        <v>6</v>
      </c>
    </row>
    <row r="2816" spans="1:2" x14ac:dyDescent="0.2">
      <c r="A2816" t="str">
        <f>"CD3G"</f>
        <v>CD3G</v>
      </c>
      <c r="B2816" t="s">
        <v>7</v>
      </c>
    </row>
    <row r="2817" spans="1:2" x14ac:dyDescent="0.2">
      <c r="A2817" t="str">
        <f>"CD4"</f>
        <v>CD4</v>
      </c>
      <c r="B2817" t="s">
        <v>7</v>
      </c>
    </row>
    <row r="2818" spans="1:2" x14ac:dyDescent="0.2">
      <c r="A2818" t="str">
        <f>"CD40"</f>
        <v>CD40</v>
      </c>
      <c r="B2818" t="s">
        <v>3</v>
      </c>
    </row>
    <row r="2819" spans="1:2" x14ac:dyDescent="0.2">
      <c r="A2819" t="str">
        <f>"CD40LG"</f>
        <v>CD40LG</v>
      </c>
      <c r="B2819" t="s">
        <v>3</v>
      </c>
    </row>
    <row r="2820" spans="1:2" x14ac:dyDescent="0.2">
      <c r="A2820" t="str">
        <f>"CD44"</f>
        <v>CD44</v>
      </c>
      <c r="B2820" t="s">
        <v>3</v>
      </c>
    </row>
    <row r="2821" spans="1:2" x14ac:dyDescent="0.2">
      <c r="A2821" t="str">
        <f>"CD46"</f>
        <v>CD46</v>
      </c>
      <c r="B2821" t="s">
        <v>7</v>
      </c>
    </row>
    <row r="2822" spans="1:2" x14ac:dyDescent="0.2">
      <c r="A2822" t="str">
        <f>"CD47"</f>
        <v>CD47</v>
      </c>
      <c r="B2822" t="s">
        <v>5</v>
      </c>
    </row>
    <row r="2823" spans="1:2" x14ac:dyDescent="0.2">
      <c r="A2823" t="str">
        <f>"CD48"</f>
        <v>CD48</v>
      </c>
      <c r="B2823" t="s">
        <v>6</v>
      </c>
    </row>
    <row r="2824" spans="1:2" x14ac:dyDescent="0.2">
      <c r="A2824" t="str">
        <f>"CD5"</f>
        <v>CD5</v>
      </c>
      <c r="B2824" t="s">
        <v>3</v>
      </c>
    </row>
    <row r="2825" spans="1:2" x14ac:dyDescent="0.2">
      <c r="A2825" t="str">
        <f>"CD52"</f>
        <v>CD52</v>
      </c>
      <c r="B2825" t="s">
        <v>7</v>
      </c>
    </row>
    <row r="2826" spans="1:2" x14ac:dyDescent="0.2">
      <c r="A2826" t="str">
        <f>"CD53"</f>
        <v>CD53</v>
      </c>
      <c r="B2826" t="s">
        <v>5</v>
      </c>
    </row>
    <row r="2827" spans="1:2" x14ac:dyDescent="0.2">
      <c r="A2827" t="str">
        <f>"CD55"</f>
        <v>CD55</v>
      </c>
      <c r="B2827" t="s">
        <v>7</v>
      </c>
    </row>
    <row r="2828" spans="1:2" x14ac:dyDescent="0.2">
      <c r="A2828" t="str">
        <f>"CD58"</f>
        <v>CD58</v>
      </c>
      <c r="B2828" t="s">
        <v>5</v>
      </c>
    </row>
    <row r="2829" spans="1:2" x14ac:dyDescent="0.2">
      <c r="A2829" t="str">
        <f>"CD59"</f>
        <v>CD59</v>
      </c>
      <c r="B2829" t="s">
        <v>4</v>
      </c>
    </row>
    <row r="2830" spans="1:2" x14ac:dyDescent="0.2">
      <c r="A2830" t="str">
        <f>"CD5L"</f>
        <v>CD5L</v>
      </c>
      <c r="B2830" t="s">
        <v>3</v>
      </c>
    </row>
    <row r="2831" spans="1:2" x14ac:dyDescent="0.2">
      <c r="A2831" t="str">
        <f>"CD6"</f>
        <v>CD6</v>
      </c>
      <c r="B2831" t="s">
        <v>5</v>
      </c>
    </row>
    <row r="2832" spans="1:2" x14ac:dyDescent="0.2">
      <c r="A2832" t="str">
        <f>"CD63"</f>
        <v>CD63</v>
      </c>
      <c r="B2832" t="s">
        <v>2</v>
      </c>
    </row>
    <row r="2833" spans="1:2" x14ac:dyDescent="0.2">
      <c r="A2833" t="str">
        <f>"CD68"</f>
        <v>CD68</v>
      </c>
      <c r="B2833" t="s">
        <v>2</v>
      </c>
    </row>
    <row r="2834" spans="1:2" x14ac:dyDescent="0.2">
      <c r="A2834" t="str">
        <f>"CD69"</f>
        <v>CD69</v>
      </c>
      <c r="B2834" t="s">
        <v>5</v>
      </c>
    </row>
    <row r="2835" spans="1:2" x14ac:dyDescent="0.2">
      <c r="A2835" t="str">
        <f>"CD7"</f>
        <v>CD7</v>
      </c>
      <c r="B2835" t="s">
        <v>5</v>
      </c>
    </row>
    <row r="2836" spans="1:2" x14ac:dyDescent="0.2">
      <c r="A2836" t="str">
        <f>"CD70"</f>
        <v>CD70</v>
      </c>
      <c r="B2836" t="s">
        <v>3</v>
      </c>
    </row>
    <row r="2837" spans="1:2" x14ac:dyDescent="0.2">
      <c r="A2837" t="str">
        <f>"CD72"</f>
        <v>CD72</v>
      </c>
      <c r="B2837" t="s">
        <v>5</v>
      </c>
    </row>
    <row r="2838" spans="1:2" x14ac:dyDescent="0.2">
      <c r="A2838" t="str">
        <f>"CD74"</f>
        <v>CD74</v>
      </c>
      <c r="B2838" t="s">
        <v>2</v>
      </c>
    </row>
    <row r="2839" spans="1:2" x14ac:dyDescent="0.2">
      <c r="A2839" t="str">
        <f>"CD79A"</f>
        <v>CD79A</v>
      </c>
      <c r="B2839" t="s">
        <v>3</v>
      </c>
    </row>
    <row r="2840" spans="1:2" x14ac:dyDescent="0.2">
      <c r="A2840" t="str">
        <f>"CD79B"</f>
        <v>CD79B</v>
      </c>
      <c r="B2840" t="s">
        <v>5</v>
      </c>
    </row>
    <row r="2841" spans="1:2" x14ac:dyDescent="0.2">
      <c r="A2841" t="str">
        <f>"CD80"</f>
        <v>CD80</v>
      </c>
      <c r="B2841" t="s">
        <v>7</v>
      </c>
    </row>
    <row r="2842" spans="1:2" x14ac:dyDescent="0.2">
      <c r="A2842" t="str">
        <f>"CD81"</f>
        <v>CD81</v>
      </c>
      <c r="B2842" t="s">
        <v>2</v>
      </c>
    </row>
    <row r="2843" spans="1:2" x14ac:dyDescent="0.2">
      <c r="A2843" t="str">
        <f>"CD82"</f>
        <v>CD82</v>
      </c>
      <c r="B2843" t="s">
        <v>5</v>
      </c>
    </row>
    <row r="2844" spans="1:2" x14ac:dyDescent="0.2">
      <c r="A2844" t="str">
        <f>"CD83"</f>
        <v>CD83</v>
      </c>
      <c r="B2844" t="s">
        <v>5</v>
      </c>
    </row>
    <row r="2845" spans="1:2" x14ac:dyDescent="0.2">
      <c r="A2845" t="str">
        <f>"CD84"</f>
        <v>CD84</v>
      </c>
      <c r="B2845" t="s">
        <v>5</v>
      </c>
    </row>
    <row r="2846" spans="1:2" x14ac:dyDescent="0.2">
      <c r="A2846" t="str">
        <f>"CD86"</f>
        <v>CD86</v>
      </c>
      <c r="B2846" t="s">
        <v>7</v>
      </c>
    </row>
    <row r="2847" spans="1:2" x14ac:dyDescent="0.2">
      <c r="A2847" t="str">
        <f>"CD8A"</f>
        <v>CD8A</v>
      </c>
      <c r="B2847" t="s">
        <v>5</v>
      </c>
    </row>
    <row r="2848" spans="1:2" x14ac:dyDescent="0.2">
      <c r="A2848" t="str">
        <f>"CD8B"</f>
        <v>CD8B</v>
      </c>
      <c r="B2848" t="s">
        <v>5</v>
      </c>
    </row>
    <row r="2849" spans="1:2" x14ac:dyDescent="0.2">
      <c r="A2849" t="str">
        <f>"CD9"</f>
        <v>CD9</v>
      </c>
      <c r="B2849" t="s">
        <v>3</v>
      </c>
    </row>
    <row r="2850" spans="1:2" x14ac:dyDescent="0.2">
      <c r="A2850" t="str">
        <f>"CD93"</f>
        <v>CD93</v>
      </c>
      <c r="B2850" t="s">
        <v>2</v>
      </c>
    </row>
    <row r="2851" spans="1:2" x14ac:dyDescent="0.2">
      <c r="A2851" t="str">
        <f>"CD96"</f>
        <v>CD96</v>
      </c>
      <c r="B2851" t="s">
        <v>5</v>
      </c>
    </row>
    <row r="2852" spans="1:2" x14ac:dyDescent="0.2">
      <c r="A2852" t="str">
        <f>"CD97"</f>
        <v>CD97</v>
      </c>
      <c r="B2852" t="s">
        <v>5</v>
      </c>
    </row>
    <row r="2853" spans="1:2" x14ac:dyDescent="0.2">
      <c r="A2853" t="str">
        <f>"CD99"</f>
        <v>CD99</v>
      </c>
      <c r="B2853" t="s">
        <v>3</v>
      </c>
    </row>
    <row r="2854" spans="1:2" x14ac:dyDescent="0.2">
      <c r="A2854" t="str">
        <f>"CD99L2"</f>
        <v>CD99L2</v>
      </c>
      <c r="B2854" t="s">
        <v>5</v>
      </c>
    </row>
    <row r="2855" spans="1:2" x14ac:dyDescent="0.2">
      <c r="A2855" t="str">
        <f>"CDA"</f>
        <v>CDA</v>
      </c>
      <c r="B2855" t="s">
        <v>7</v>
      </c>
    </row>
    <row r="2856" spans="1:2" x14ac:dyDescent="0.2">
      <c r="A2856" t="str">
        <f>"CDADC1"</f>
        <v>CDADC1</v>
      </c>
      <c r="B2856" t="s">
        <v>4</v>
      </c>
    </row>
    <row r="2857" spans="1:2" x14ac:dyDescent="0.2">
      <c r="A2857" t="str">
        <f>"CDAN1"</f>
        <v>CDAN1</v>
      </c>
      <c r="B2857" t="s">
        <v>3</v>
      </c>
    </row>
    <row r="2858" spans="1:2" x14ac:dyDescent="0.2">
      <c r="A2858" t="str">
        <f>"CDC123"</f>
        <v>CDC123</v>
      </c>
      <c r="B2858" t="s">
        <v>3</v>
      </c>
    </row>
    <row r="2859" spans="1:2" x14ac:dyDescent="0.2">
      <c r="A2859" t="str">
        <f>"CDC14A"</f>
        <v>CDC14A</v>
      </c>
      <c r="B2859" t="s">
        <v>7</v>
      </c>
    </row>
    <row r="2860" spans="1:2" x14ac:dyDescent="0.2">
      <c r="A2860" t="str">
        <f>"CDC14B"</f>
        <v>CDC14B</v>
      </c>
      <c r="B2860" t="s">
        <v>7</v>
      </c>
    </row>
    <row r="2861" spans="1:2" x14ac:dyDescent="0.2">
      <c r="A2861" t="str">
        <f>"CDC16"</f>
        <v>CDC16</v>
      </c>
      <c r="B2861" t="s">
        <v>3</v>
      </c>
    </row>
    <row r="2862" spans="1:2" x14ac:dyDescent="0.2">
      <c r="A2862" t="str">
        <f>"CDC20"</f>
        <v>CDC20</v>
      </c>
      <c r="B2862" t="s">
        <v>3</v>
      </c>
    </row>
    <row r="2863" spans="1:2" x14ac:dyDescent="0.2">
      <c r="A2863" t="str">
        <f>"CDC20B"</f>
        <v>CDC20B</v>
      </c>
      <c r="B2863" t="s">
        <v>4</v>
      </c>
    </row>
    <row r="2864" spans="1:2" x14ac:dyDescent="0.2">
      <c r="A2864" t="str">
        <f>"CDC23"</f>
        <v>CDC23</v>
      </c>
      <c r="B2864" t="s">
        <v>3</v>
      </c>
    </row>
    <row r="2865" spans="1:2" x14ac:dyDescent="0.2">
      <c r="A2865" t="str">
        <f>"CDC25A"</f>
        <v>CDC25A</v>
      </c>
      <c r="B2865" t="s">
        <v>7</v>
      </c>
    </row>
    <row r="2866" spans="1:2" x14ac:dyDescent="0.2">
      <c r="A2866" t="str">
        <f>"CDC25B"</f>
        <v>CDC25B</v>
      </c>
      <c r="B2866" t="s">
        <v>7</v>
      </c>
    </row>
    <row r="2867" spans="1:2" x14ac:dyDescent="0.2">
      <c r="A2867" t="str">
        <f>"CDC25C"</f>
        <v>CDC25C</v>
      </c>
      <c r="B2867" t="s">
        <v>7</v>
      </c>
    </row>
    <row r="2868" spans="1:2" x14ac:dyDescent="0.2">
      <c r="A2868" t="str">
        <f>"CDC26"</f>
        <v>CDC26</v>
      </c>
      <c r="B2868" t="s">
        <v>3</v>
      </c>
    </row>
    <row r="2869" spans="1:2" x14ac:dyDescent="0.2">
      <c r="A2869" t="str">
        <f>"CDC27"</f>
        <v>CDC27</v>
      </c>
      <c r="B2869" t="s">
        <v>3</v>
      </c>
    </row>
    <row r="2870" spans="1:2" x14ac:dyDescent="0.2">
      <c r="A2870" t="str">
        <f>"CDC34"</f>
        <v>CDC34</v>
      </c>
      <c r="B2870" t="s">
        <v>3</v>
      </c>
    </row>
    <row r="2871" spans="1:2" x14ac:dyDescent="0.2">
      <c r="A2871" t="str">
        <f>"CDC37"</f>
        <v>CDC37</v>
      </c>
      <c r="B2871" t="s">
        <v>3</v>
      </c>
    </row>
    <row r="2872" spans="1:2" x14ac:dyDescent="0.2">
      <c r="A2872" t="str">
        <f>"CDC37L1"</f>
        <v>CDC37L1</v>
      </c>
      <c r="B2872" t="s">
        <v>3</v>
      </c>
    </row>
    <row r="2873" spans="1:2" x14ac:dyDescent="0.2">
      <c r="A2873" t="str">
        <f>"CDC40"</f>
        <v>CDC40</v>
      </c>
      <c r="B2873" t="s">
        <v>8</v>
      </c>
    </row>
    <row r="2874" spans="1:2" x14ac:dyDescent="0.2">
      <c r="A2874" t="str">
        <f>"CDC42"</f>
        <v>CDC42</v>
      </c>
      <c r="B2874" t="s">
        <v>3</v>
      </c>
    </row>
    <row r="2875" spans="1:2" x14ac:dyDescent="0.2">
      <c r="A2875" t="str">
        <f>"CDC42BPA"</f>
        <v>CDC42BPA</v>
      </c>
      <c r="B2875" t="s">
        <v>7</v>
      </c>
    </row>
    <row r="2876" spans="1:2" x14ac:dyDescent="0.2">
      <c r="A2876" t="str">
        <f>"CDC42BPB"</f>
        <v>CDC42BPB</v>
      </c>
      <c r="B2876" t="s">
        <v>7</v>
      </c>
    </row>
    <row r="2877" spans="1:2" x14ac:dyDescent="0.2">
      <c r="A2877" t="str">
        <f>"CDC42BPG"</f>
        <v>CDC42BPG</v>
      </c>
      <c r="B2877" t="s">
        <v>7</v>
      </c>
    </row>
    <row r="2878" spans="1:2" x14ac:dyDescent="0.2">
      <c r="A2878" t="str">
        <f>"CDC42EP1"</f>
        <v>CDC42EP1</v>
      </c>
      <c r="B2878" t="s">
        <v>6</v>
      </c>
    </row>
    <row r="2879" spans="1:2" x14ac:dyDescent="0.2">
      <c r="A2879" t="str">
        <f>"CDC42EP2"</f>
        <v>CDC42EP2</v>
      </c>
      <c r="B2879" t="s">
        <v>6</v>
      </c>
    </row>
    <row r="2880" spans="1:2" x14ac:dyDescent="0.2">
      <c r="A2880" t="str">
        <f>"CDC42EP3"</f>
        <v>CDC42EP3</v>
      </c>
      <c r="B2880" t="s">
        <v>6</v>
      </c>
    </row>
    <row r="2881" spans="1:2" x14ac:dyDescent="0.2">
      <c r="A2881" t="str">
        <f>"CDC42EP4"</f>
        <v>CDC42EP4</v>
      </c>
      <c r="B2881" t="s">
        <v>6</v>
      </c>
    </row>
    <row r="2882" spans="1:2" x14ac:dyDescent="0.2">
      <c r="A2882" t="str">
        <f>"CDC42EP5"</f>
        <v>CDC42EP5</v>
      </c>
      <c r="B2882" t="s">
        <v>6</v>
      </c>
    </row>
    <row r="2883" spans="1:2" x14ac:dyDescent="0.2">
      <c r="A2883" t="str">
        <f>"CDC42SE1"</f>
        <v>CDC42SE1</v>
      </c>
      <c r="B2883" t="s">
        <v>6</v>
      </c>
    </row>
    <row r="2884" spans="1:2" x14ac:dyDescent="0.2">
      <c r="A2884" t="str">
        <f>"CDC42SE2"</f>
        <v>CDC42SE2</v>
      </c>
      <c r="B2884" t="s">
        <v>7</v>
      </c>
    </row>
    <row r="2885" spans="1:2" x14ac:dyDescent="0.2">
      <c r="A2885" t="str">
        <f>"CDC45"</f>
        <v>CDC45</v>
      </c>
      <c r="B2885" t="s">
        <v>3</v>
      </c>
    </row>
    <row r="2886" spans="1:2" x14ac:dyDescent="0.2">
      <c r="A2886" t="str">
        <f>"CDC5L"</f>
        <v>CDC5L</v>
      </c>
      <c r="B2886" t="s">
        <v>3</v>
      </c>
    </row>
    <row r="2887" spans="1:2" x14ac:dyDescent="0.2">
      <c r="A2887" t="str">
        <f>"CDC6"</f>
        <v>CDC6</v>
      </c>
      <c r="B2887" t="s">
        <v>3</v>
      </c>
    </row>
    <row r="2888" spans="1:2" x14ac:dyDescent="0.2">
      <c r="A2888" t="str">
        <f>"CDC7"</f>
        <v>CDC7</v>
      </c>
      <c r="B2888" t="s">
        <v>7</v>
      </c>
    </row>
    <row r="2889" spans="1:2" x14ac:dyDescent="0.2">
      <c r="A2889" t="str">
        <f>"CDC73"</f>
        <v>CDC73</v>
      </c>
      <c r="B2889" t="s">
        <v>3</v>
      </c>
    </row>
    <row r="2890" spans="1:2" x14ac:dyDescent="0.2">
      <c r="A2890" t="str">
        <f>"CDCA2"</f>
        <v>CDCA2</v>
      </c>
      <c r="B2890" t="s">
        <v>3</v>
      </c>
    </row>
    <row r="2891" spans="1:2" x14ac:dyDescent="0.2">
      <c r="A2891" t="str">
        <f>"CDCA3"</f>
        <v>CDCA3</v>
      </c>
      <c r="B2891" t="s">
        <v>3</v>
      </c>
    </row>
    <row r="2892" spans="1:2" x14ac:dyDescent="0.2">
      <c r="A2892" t="str">
        <f>"CDCA4"</f>
        <v>CDCA4</v>
      </c>
      <c r="B2892" t="s">
        <v>4</v>
      </c>
    </row>
    <row r="2893" spans="1:2" x14ac:dyDescent="0.2">
      <c r="A2893" t="str">
        <f>"CDCA5"</f>
        <v>CDCA5</v>
      </c>
      <c r="B2893" t="s">
        <v>3</v>
      </c>
    </row>
    <row r="2894" spans="1:2" x14ac:dyDescent="0.2">
      <c r="A2894" t="str">
        <f>"CDCA7"</f>
        <v>CDCA7</v>
      </c>
      <c r="B2894" t="s">
        <v>8</v>
      </c>
    </row>
    <row r="2895" spans="1:2" x14ac:dyDescent="0.2">
      <c r="A2895" t="str">
        <f>"CDCA7L"</f>
        <v>CDCA7L</v>
      </c>
      <c r="B2895" t="s">
        <v>8</v>
      </c>
    </row>
    <row r="2896" spans="1:2" x14ac:dyDescent="0.2">
      <c r="A2896" t="str">
        <f>"CDCA8"</f>
        <v>CDCA8</v>
      </c>
      <c r="B2896" t="s">
        <v>3</v>
      </c>
    </row>
    <row r="2897" spans="1:2" x14ac:dyDescent="0.2">
      <c r="A2897" t="str">
        <f>"CDCP1"</f>
        <v>CDCP1</v>
      </c>
      <c r="B2897" t="s">
        <v>5</v>
      </c>
    </row>
    <row r="2898" spans="1:2" x14ac:dyDescent="0.2">
      <c r="A2898" t="str">
        <f>"CDCP2"</f>
        <v>CDCP2</v>
      </c>
      <c r="B2898" t="s">
        <v>4</v>
      </c>
    </row>
    <row r="2899" spans="1:2" x14ac:dyDescent="0.2">
      <c r="A2899" t="str">
        <f>"CDH1"</f>
        <v>CDH1</v>
      </c>
      <c r="B2899" t="s">
        <v>3</v>
      </c>
    </row>
    <row r="2900" spans="1:2" x14ac:dyDescent="0.2">
      <c r="A2900" t="str">
        <f>"CDH10"</f>
        <v>CDH10</v>
      </c>
      <c r="B2900" t="s">
        <v>5</v>
      </c>
    </row>
    <row r="2901" spans="1:2" x14ac:dyDescent="0.2">
      <c r="A2901" t="str">
        <f>"CDH11"</f>
        <v>CDH11</v>
      </c>
      <c r="B2901" t="s">
        <v>3</v>
      </c>
    </row>
    <row r="2902" spans="1:2" x14ac:dyDescent="0.2">
      <c r="A2902" t="str">
        <f>"CDH12"</f>
        <v>CDH12</v>
      </c>
      <c r="B2902" t="s">
        <v>6</v>
      </c>
    </row>
    <row r="2903" spans="1:2" x14ac:dyDescent="0.2">
      <c r="A2903" t="str">
        <f>"CDH13"</f>
        <v>CDH13</v>
      </c>
      <c r="B2903" t="s">
        <v>3</v>
      </c>
    </row>
    <row r="2904" spans="1:2" x14ac:dyDescent="0.2">
      <c r="A2904" t="str">
        <f>"CDH15"</f>
        <v>CDH15</v>
      </c>
      <c r="B2904" t="s">
        <v>5</v>
      </c>
    </row>
    <row r="2905" spans="1:2" x14ac:dyDescent="0.2">
      <c r="A2905" t="str">
        <f>"CDH16"</f>
        <v>CDH16</v>
      </c>
      <c r="B2905" t="s">
        <v>8</v>
      </c>
    </row>
    <row r="2906" spans="1:2" x14ac:dyDescent="0.2">
      <c r="A2906" t="str">
        <f>"CDH17"</f>
        <v>CDH17</v>
      </c>
      <c r="B2906" t="s">
        <v>5</v>
      </c>
    </row>
    <row r="2907" spans="1:2" x14ac:dyDescent="0.2">
      <c r="A2907" t="str">
        <f>"CDH18"</f>
        <v>CDH18</v>
      </c>
      <c r="B2907" t="s">
        <v>5</v>
      </c>
    </row>
    <row r="2908" spans="1:2" x14ac:dyDescent="0.2">
      <c r="A2908" t="str">
        <f>"CDH19"</f>
        <v>CDH19</v>
      </c>
      <c r="B2908" t="s">
        <v>5</v>
      </c>
    </row>
    <row r="2909" spans="1:2" x14ac:dyDescent="0.2">
      <c r="A2909" t="str">
        <f>"CDH2"</f>
        <v>CDH2</v>
      </c>
      <c r="B2909" t="s">
        <v>3</v>
      </c>
    </row>
    <row r="2910" spans="1:2" x14ac:dyDescent="0.2">
      <c r="A2910" t="str">
        <f>"CDH20"</f>
        <v>CDH20</v>
      </c>
      <c r="B2910" t="s">
        <v>5</v>
      </c>
    </row>
    <row r="2911" spans="1:2" x14ac:dyDescent="0.2">
      <c r="A2911" t="str">
        <f>"CDH22"</f>
        <v>CDH22</v>
      </c>
      <c r="B2911" t="s">
        <v>5</v>
      </c>
    </row>
    <row r="2912" spans="1:2" x14ac:dyDescent="0.2">
      <c r="A2912" t="str">
        <f>"CDH23"</f>
        <v>CDH23</v>
      </c>
      <c r="B2912" t="s">
        <v>5</v>
      </c>
    </row>
    <row r="2913" spans="1:2" x14ac:dyDescent="0.2">
      <c r="A2913" t="str">
        <f>"CDH24"</f>
        <v>CDH24</v>
      </c>
      <c r="B2913" t="s">
        <v>5</v>
      </c>
    </row>
    <row r="2914" spans="1:2" x14ac:dyDescent="0.2">
      <c r="A2914" t="str">
        <f>"CDH26"</f>
        <v>CDH26</v>
      </c>
      <c r="B2914" t="s">
        <v>5</v>
      </c>
    </row>
    <row r="2915" spans="1:2" x14ac:dyDescent="0.2">
      <c r="A2915" t="str">
        <f>"CDH3"</f>
        <v>CDH3</v>
      </c>
      <c r="B2915" t="s">
        <v>6</v>
      </c>
    </row>
    <row r="2916" spans="1:2" x14ac:dyDescent="0.2">
      <c r="A2916" t="str">
        <f>"CDH4"</f>
        <v>CDH4</v>
      </c>
      <c r="B2916" t="s">
        <v>3</v>
      </c>
    </row>
    <row r="2917" spans="1:2" x14ac:dyDescent="0.2">
      <c r="A2917" t="str">
        <f>"CDH5"</f>
        <v>CDH5</v>
      </c>
      <c r="B2917" t="s">
        <v>7</v>
      </c>
    </row>
    <row r="2918" spans="1:2" x14ac:dyDescent="0.2">
      <c r="A2918" t="str">
        <f>"CDH6"</f>
        <v>CDH6</v>
      </c>
      <c r="B2918" t="s">
        <v>5</v>
      </c>
    </row>
    <row r="2919" spans="1:2" x14ac:dyDescent="0.2">
      <c r="A2919" t="str">
        <f>"CDH7"</f>
        <v>CDH7</v>
      </c>
      <c r="B2919" t="s">
        <v>5</v>
      </c>
    </row>
    <row r="2920" spans="1:2" x14ac:dyDescent="0.2">
      <c r="A2920" t="str">
        <f>"CDH8"</f>
        <v>CDH8</v>
      </c>
      <c r="B2920" t="s">
        <v>5</v>
      </c>
    </row>
    <row r="2921" spans="1:2" x14ac:dyDescent="0.2">
      <c r="A2921" t="str">
        <f>"CDH9"</f>
        <v>CDH9</v>
      </c>
      <c r="B2921" t="s">
        <v>5</v>
      </c>
    </row>
    <row r="2922" spans="1:2" x14ac:dyDescent="0.2">
      <c r="A2922" t="str">
        <f>"CDHR1"</f>
        <v>CDHR1</v>
      </c>
      <c r="B2922" t="s">
        <v>5</v>
      </c>
    </row>
    <row r="2923" spans="1:2" x14ac:dyDescent="0.2">
      <c r="A2923" t="str">
        <f>"CDHR2"</f>
        <v>CDHR2</v>
      </c>
      <c r="B2923" t="s">
        <v>5</v>
      </c>
    </row>
    <row r="2924" spans="1:2" x14ac:dyDescent="0.2">
      <c r="A2924" t="str">
        <f>"CDHR3"</f>
        <v>CDHR3</v>
      </c>
      <c r="B2924" t="s">
        <v>5</v>
      </c>
    </row>
    <row r="2925" spans="1:2" x14ac:dyDescent="0.2">
      <c r="A2925" t="str">
        <f>"CDHR4"</f>
        <v>CDHR4</v>
      </c>
      <c r="B2925" t="s">
        <v>5</v>
      </c>
    </row>
    <row r="2926" spans="1:2" x14ac:dyDescent="0.2">
      <c r="A2926" t="str">
        <f>"CDHR5"</f>
        <v>CDHR5</v>
      </c>
      <c r="B2926" t="s">
        <v>5</v>
      </c>
    </row>
    <row r="2927" spans="1:2" x14ac:dyDescent="0.2">
      <c r="A2927" t="str">
        <f>"CDIP1"</f>
        <v>CDIP1</v>
      </c>
      <c r="B2927" t="s">
        <v>3</v>
      </c>
    </row>
    <row r="2928" spans="1:2" x14ac:dyDescent="0.2">
      <c r="A2928" t="str">
        <f>"CDIPT"</f>
        <v>CDIPT</v>
      </c>
      <c r="B2928" t="s">
        <v>3</v>
      </c>
    </row>
    <row r="2929" spans="1:2" x14ac:dyDescent="0.2">
      <c r="A2929" t="str">
        <f>"CDK1"</f>
        <v>CDK1</v>
      </c>
      <c r="B2929" t="s">
        <v>7</v>
      </c>
    </row>
    <row r="2930" spans="1:2" x14ac:dyDescent="0.2">
      <c r="A2930" t="str">
        <f>"CDK10"</f>
        <v>CDK10</v>
      </c>
      <c r="B2930" t="s">
        <v>7</v>
      </c>
    </row>
    <row r="2931" spans="1:2" x14ac:dyDescent="0.2">
      <c r="A2931" t="str">
        <f>"CDK11A"</f>
        <v>CDK11A</v>
      </c>
      <c r="B2931" t="s">
        <v>7</v>
      </c>
    </row>
    <row r="2932" spans="1:2" x14ac:dyDescent="0.2">
      <c r="A2932" t="str">
        <f>"CDK11B"</f>
        <v>CDK11B</v>
      </c>
      <c r="B2932" t="s">
        <v>7</v>
      </c>
    </row>
    <row r="2933" spans="1:2" x14ac:dyDescent="0.2">
      <c r="A2933" t="str">
        <f>"CDK12"</f>
        <v>CDK12</v>
      </c>
      <c r="B2933" t="s">
        <v>7</v>
      </c>
    </row>
    <row r="2934" spans="1:2" x14ac:dyDescent="0.2">
      <c r="A2934" t="str">
        <f>"CDK13"</f>
        <v>CDK13</v>
      </c>
      <c r="B2934" t="s">
        <v>7</v>
      </c>
    </row>
    <row r="2935" spans="1:2" x14ac:dyDescent="0.2">
      <c r="A2935" t="str">
        <f>"CDK14"</f>
        <v>CDK14</v>
      </c>
      <c r="B2935" t="s">
        <v>7</v>
      </c>
    </row>
    <row r="2936" spans="1:2" x14ac:dyDescent="0.2">
      <c r="A2936" t="str">
        <f>"CDK15"</f>
        <v>CDK15</v>
      </c>
      <c r="B2936" t="s">
        <v>7</v>
      </c>
    </row>
    <row r="2937" spans="1:2" x14ac:dyDescent="0.2">
      <c r="A2937" t="str">
        <f>"CDK16"</f>
        <v>CDK16</v>
      </c>
      <c r="B2937" t="s">
        <v>7</v>
      </c>
    </row>
    <row r="2938" spans="1:2" x14ac:dyDescent="0.2">
      <c r="A2938" t="str">
        <f>"CDK17"</f>
        <v>CDK17</v>
      </c>
      <c r="B2938" t="s">
        <v>7</v>
      </c>
    </row>
    <row r="2939" spans="1:2" x14ac:dyDescent="0.2">
      <c r="A2939" t="str">
        <f>"CDK18"</f>
        <v>CDK18</v>
      </c>
      <c r="B2939" t="s">
        <v>7</v>
      </c>
    </row>
    <row r="2940" spans="1:2" x14ac:dyDescent="0.2">
      <c r="A2940" t="str">
        <f>"CDK19"</f>
        <v>CDK19</v>
      </c>
      <c r="B2940" t="s">
        <v>7</v>
      </c>
    </row>
    <row r="2941" spans="1:2" x14ac:dyDescent="0.2">
      <c r="A2941" t="str">
        <f>"CDK2"</f>
        <v>CDK2</v>
      </c>
      <c r="B2941" t="s">
        <v>7</v>
      </c>
    </row>
    <row r="2942" spans="1:2" x14ac:dyDescent="0.2">
      <c r="A2942" t="str">
        <f>"CDK20"</f>
        <v>CDK20</v>
      </c>
      <c r="B2942" t="s">
        <v>7</v>
      </c>
    </row>
    <row r="2943" spans="1:2" x14ac:dyDescent="0.2">
      <c r="A2943" t="str">
        <f>"CDK2AP1"</f>
        <v>CDK2AP1</v>
      </c>
      <c r="B2943" t="s">
        <v>3</v>
      </c>
    </row>
    <row r="2944" spans="1:2" x14ac:dyDescent="0.2">
      <c r="A2944" t="str">
        <f>"CDK2AP2"</f>
        <v>CDK2AP2</v>
      </c>
      <c r="B2944" t="s">
        <v>2</v>
      </c>
    </row>
    <row r="2945" spans="1:2" x14ac:dyDescent="0.2">
      <c r="A2945" t="str">
        <f>"CDK3"</f>
        <v>CDK3</v>
      </c>
      <c r="B2945" t="s">
        <v>7</v>
      </c>
    </row>
    <row r="2946" spans="1:2" x14ac:dyDescent="0.2">
      <c r="A2946" t="str">
        <f>"CDK4"</f>
        <v>CDK4</v>
      </c>
      <c r="B2946" t="s">
        <v>7</v>
      </c>
    </row>
    <row r="2947" spans="1:2" x14ac:dyDescent="0.2">
      <c r="A2947" t="str">
        <f>"CDK5"</f>
        <v>CDK5</v>
      </c>
      <c r="B2947" t="s">
        <v>7</v>
      </c>
    </row>
    <row r="2948" spans="1:2" x14ac:dyDescent="0.2">
      <c r="A2948" t="str">
        <f>"CDK5R1"</f>
        <v>CDK5R1</v>
      </c>
      <c r="B2948" t="s">
        <v>7</v>
      </c>
    </row>
    <row r="2949" spans="1:2" x14ac:dyDescent="0.2">
      <c r="A2949" t="str">
        <f>"CDK5R2"</f>
        <v>CDK5R2</v>
      </c>
      <c r="B2949" t="s">
        <v>7</v>
      </c>
    </row>
    <row r="2950" spans="1:2" x14ac:dyDescent="0.2">
      <c r="A2950" t="str">
        <f>"CDK5RAP1"</f>
        <v>CDK5RAP1</v>
      </c>
      <c r="B2950" t="s">
        <v>6</v>
      </c>
    </row>
    <row r="2951" spans="1:2" x14ac:dyDescent="0.2">
      <c r="A2951" t="str">
        <f>"CDK5RAP2"</f>
        <v>CDK5RAP2</v>
      </c>
      <c r="B2951" t="s">
        <v>3</v>
      </c>
    </row>
    <row r="2952" spans="1:2" x14ac:dyDescent="0.2">
      <c r="A2952" t="str">
        <f>"CDK5RAP3"</f>
        <v>CDK5RAP3</v>
      </c>
      <c r="B2952" t="s">
        <v>2</v>
      </c>
    </row>
    <row r="2953" spans="1:2" x14ac:dyDescent="0.2">
      <c r="A2953" t="str">
        <f>"CDK6"</f>
        <v>CDK6</v>
      </c>
      <c r="B2953" t="s">
        <v>7</v>
      </c>
    </row>
    <row r="2954" spans="1:2" x14ac:dyDescent="0.2">
      <c r="A2954" t="str">
        <f>"CDK7"</f>
        <v>CDK7</v>
      </c>
      <c r="B2954" t="s">
        <v>7</v>
      </c>
    </row>
    <row r="2955" spans="1:2" x14ac:dyDescent="0.2">
      <c r="A2955" t="str">
        <f>"CDK8"</f>
        <v>CDK8</v>
      </c>
      <c r="B2955" t="s">
        <v>7</v>
      </c>
    </row>
    <row r="2956" spans="1:2" x14ac:dyDescent="0.2">
      <c r="A2956" t="str">
        <f>"CDK9"</f>
        <v>CDK9</v>
      </c>
      <c r="B2956" t="s">
        <v>7</v>
      </c>
    </row>
    <row r="2957" spans="1:2" x14ac:dyDescent="0.2">
      <c r="A2957" t="str">
        <f>"CDKAL1"</f>
        <v>CDKAL1</v>
      </c>
      <c r="B2957" t="s">
        <v>6</v>
      </c>
    </row>
    <row r="2958" spans="1:2" x14ac:dyDescent="0.2">
      <c r="A2958" t="str">
        <f>"CDKL1"</f>
        <v>CDKL1</v>
      </c>
      <c r="B2958" t="s">
        <v>7</v>
      </c>
    </row>
    <row r="2959" spans="1:2" x14ac:dyDescent="0.2">
      <c r="A2959" t="str">
        <f>"CDKL2"</f>
        <v>CDKL2</v>
      </c>
      <c r="B2959" t="s">
        <v>7</v>
      </c>
    </row>
    <row r="2960" spans="1:2" x14ac:dyDescent="0.2">
      <c r="A2960" t="str">
        <f>"CDKL3"</f>
        <v>CDKL3</v>
      </c>
      <c r="B2960" t="s">
        <v>7</v>
      </c>
    </row>
    <row r="2961" spans="1:2" x14ac:dyDescent="0.2">
      <c r="A2961" t="str">
        <f>"CDKL4"</f>
        <v>CDKL4</v>
      </c>
      <c r="B2961" t="s">
        <v>7</v>
      </c>
    </row>
    <row r="2962" spans="1:2" x14ac:dyDescent="0.2">
      <c r="A2962" t="str">
        <f>"CDKL5"</f>
        <v>CDKL5</v>
      </c>
      <c r="B2962" t="s">
        <v>7</v>
      </c>
    </row>
    <row r="2963" spans="1:2" x14ac:dyDescent="0.2">
      <c r="A2963" t="str">
        <f>"CDKN1A"</f>
        <v>CDKN1A</v>
      </c>
      <c r="B2963" t="s">
        <v>7</v>
      </c>
    </row>
    <row r="2964" spans="1:2" x14ac:dyDescent="0.2">
      <c r="A2964" t="str">
        <f>"CDKN1B"</f>
        <v>CDKN1B</v>
      </c>
      <c r="B2964" t="s">
        <v>7</v>
      </c>
    </row>
    <row r="2965" spans="1:2" x14ac:dyDescent="0.2">
      <c r="A2965" t="str">
        <f>"CDKN1C"</f>
        <v>CDKN1C</v>
      </c>
      <c r="B2965" t="s">
        <v>7</v>
      </c>
    </row>
    <row r="2966" spans="1:2" x14ac:dyDescent="0.2">
      <c r="A2966" t="str">
        <f>"CDKN2A"</f>
        <v>CDKN2A</v>
      </c>
      <c r="B2966" t="s">
        <v>7</v>
      </c>
    </row>
    <row r="2967" spans="1:2" x14ac:dyDescent="0.2">
      <c r="A2967" t="str">
        <f>"CDKN2AIP"</f>
        <v>CDKN2AIP</v>
      </c>
      <c r="B2967" t="s">
        <v>8</v>
      </c>
    </row>
    <row r="2968" spans="1:2" x14ac:dyDescent="0.2">
      <c r="A2968" t="str">
        <f>"CDKN2AIPNL"</f>
        <v>CDKN2AIPNL</v>
      </c>
      <c r="B2968" t="s">
        <v>4</v>
      </c>
    </row>
    <row r="2969" spans="1:2" x14ac:dyDescent="0.2">
      <c r="A2969" t="str">
        <f>"CDKN2B"</f>
        <v>CDKN2B</v>
      </c>
      <c r="B2969" t="s">
        <v>7</v>
      </c>
    </row>
    <row r="2970" spans="1:2" x14ac:dyDescent="0.2">
      <c r="A2970" t="str">
        <f>"CDKN2C"</f>
        <v>CDKN2C</v>
      </c>
      <c r="B2970" t="s">
        <v>7</v>
      </c>
    </row>
    <row r="2971" spans="1:2" x14ac:dyDescent="0.2">
      <c r="A2971" t="str">
        <f>"CDKN2D"</f>
        <v>CDKN2D</v>
      </c>
      <c r="B2971" t="s">
        <v>7</v>
      </c>
    </row>
    <row r="2972" spans="1:2" x14ac:dyDescent="0.2">
      <c r="A2972" t="str">
        <f>"CDKN3"</f>
        <v>CDKN3</v>
      </c>
      <c r="B2972" t="s">
        <v>7</v>
      </c>
    </row>
    <row r="2973" spans="1:2" x14ac:dyDescent="0.2">
      <c r="A2973" t="str">
        <f>"CDNF"</f>
        <v>CDNF</v>
      </c>
      <c r="B2973" t="s">
        <v>4</v>
      </c>
    </row>
    <row r="2974" spans="1:2" x14ac:dyDescent="0.2">
      <c r="A2974" t="str">
        <f>"CDO1"</f>
        <v>CDO1</v>
      </c>
      <c r="B2974" t="s">
        <v>7</v>
      </c>
    </row>
    <row r="2975" spans="1:2" x14ac:dyDescent="0.2">
      <c r="A2975" t="str">
        <f>"CDON"</f>
        <v>CDON</v>
      </c>
      <c r="B2975" t="s">
        <v>5</v>
      </c>
    </row>
    <row r="2976" spans="1:2" x14ac:dyDescent="0.2">
      <c r="A2976" t="str">
        <f>"CDPF1"</f>
        <v>CDPF1</v>
      </c>
      <c r="B2976" t="s">
        <v>3</v>
      </c>
    </row>
    <row r="2977" spans="1:2" x14ac:dyDescent="0.2">
      <c r="A2977" t="str">
        <f>"CDR1"</f>
        <v>CDR1</v>
      </c>
      <c r="B2977" t="s">
        <v>3</v>
      </c>
    </row>
    <row r="2978" spans="1:2" x14ac:dyDescent="0.2">
      <c r="A2978" t="str">
        <f>"CDR2"</f>
        <v>CDR2</v>
      </c>
      <c r="B2978" t="s">
        <v>3</v>
      </c>
    </row>
    <row r="2979" spans="1:2" x14ac:dyDescent="0.2">
      <c r="A2979" t="str">
        <f>"CDR2L"</f>
        <v>CDR2L</v>
      </c>
      <c r="B2979" t="s">
        <v>4</v>
      </c>
    </row>
    <row r="2980" spans="1:2" x14ac:dyDescent="0.2">
      <c r="A2980" t="str">
        <f>"CDRT1"</f>
        <v>CDRT1</v>
      </c>
      <c r="B2980" t="s">
        <v>2</v>
      </c>
    </row>
    <row r="2981" spans="1:2" x14ac:dyDescent="0.2">
      <c r="A2981" t="str">
        <f>"CDRT15"</f>
        <v>CDRT15</v>
      </c>
      <c r="B2981" t="s">
        <v>4</v>
      </c>
    </row>
    <row r="2982" spans="1:2" x14ac:dyDescent="0.2">
      <c r="A2982" t="str">
        <f>"CDRT15L2"</f>
        <v>CDRT15L2</v>
      </c>
      <c r="B2982" t="s">
        <v>4</v>
      </c>
    </row>
    <row r="2983" spans="1:2" x14ac:dyDescent="0.2">
      <c r="A2983" t="str">
        <f>"CDRT4"</f>
        <v>CDRT4</v>
      </c>
      <c r="B2983" t="s">
        <v>4</v>
      </c>
    </row>
    <row r="2984" spans="1:2" x14ac:dyDescent="0.2">
      <c r="A2984" t="str">
        <f>"CDS1"</f>
        <v>CDS1</v>
      </c>
      <c r="B2984" t="s">
        <v>2</v>
      </c>
    </row>
    <row r="2985" spans="1:2" x14ac:dyDescent="0.2">
      <c r="A2985" t="str">
        <f>"CDS2"</f>
        <v>CDS2</v>
      </c>
      <c r="B2985" t="s">
        <v>6</v>
      </c>
    </row>
    <row r="2986" spans="1:2" x14ac:dyDescent="0.2">
      <c r="A2986" t="str">
        <f>"CDSN"</f>
        <v>CDSN</v>
      </c>
      <c r="B2986" t="s">
        <v>4</v>
      </c>
    </row>
    <row r="2987" spans="1:2" x14ac:dyDescent="0.2">
      <c r="A2987" t="str">
        <f>"CDT1"</f>
        <v>CDT1</v>
      </c>
      <c r="B2987" t="s">
        <v>3</v>
      </c>
    </row>
    <row r="2988" spans="1:2" x14ac:dyDescent="0.2">
      <c r="A2988" t="str">
        <f>"CDV3"</f>
        <v>CDV3</v>
      </c>
      <c r="B2988" t="s">
        <v>6</v>
      </c>
    </row>
    <row r="2989" spans="1:2" x14ac:dyDescent="0.2">
      <c r="A2989" t="str">
        <f>"CDX1"</f>
        <v>CDX1</v>
      </c>
      <c r="B2989" t="s">
        <v>8</v>
      </c>
    </row>
    <row r="2990" spans="1:2" x14ac:dyDescent="0.2">
      <c r="A2990" t="str">
        <f>"CDX2"</f>
        <v>CDX2</v>
      </c>
      <c r="B2990" t="s">
        <v>3</v>
      </c>
    </row>
    <row r="2991" spans="1:2" x14ac:dyDescent="0.2">
      <c r="A2991" t="str">
        <f>"CDX4"</f>
        <v>CDX4</v>
      </c>
      <c r="B2991" t="s">
        <v>8</v>
      </c>
    </row>
    <row r="2992" spans="1:2" x14ac:dyDescent="0.2">
      <c r="A2992" t="str">
        <f>"CDYL"</f>
        <v>CDYL</v>
      </c>
      <c r="B2992" t="s">
        <v>6</v>
      </c>
    </row>
    <row r="2993" spans="1:2" x14ac:dyDescent="0.2">
      <c r="A2993" t="str">
        <f>"CDYL2"</f>
        <v>CDYL2</v>
      </c>
      <c r="B2993" t="s">
        <v>2</v>
      </c>
    </row>
    <row r="2994" spans="1:2" x14ac:dyDescent="0.2">
      <c r="A2994" t="str">
        <f>"CEACAM1"</f>
        <v>CEACAM1</v>
      </c>
      <c r="B2994" t="s">
        <v>7</v>
      </c>
    </row>
    <row r="2995" spans="1:2" x14ac:dyDescent="0.2">
      <c r="A2995" t="str">
        <f>"CEACAM16"</f>
        <v>CEACAM16</v>
      </c>
      <c r="B2995" t="s">
        <v>8</v>
      </c>
    </row>
    <row r="2996" spans="1:2" x14ac:dyDescent="0.2">
      <c r="A2996" t="str">
        <f>"CEACAM18"</f>
        <v>CEACAM18</v>
      </c>
      <c r="B2996" t="s">
        <v>5</v>
      </c>
    </row>
    <row r="2997" spans="1:2" x14ac:dyDescent="0.2">
      <c r="A2997" t="str">
        <f>"CEACAM19"</f>
        <v>CEACAM19</v>
      </c>
      <c r="B2997" t="s">
        <v>5</v>
      </c>
    </row>
    <row r="2998" spans="1:2" x14ac:dyDescent="0.2">
      <c r="A2998" t="str">
        <f>"CEACAM20"</f>
        <v>CEACAM20</v>
      </c>
      <c r="B2998" t="s">
        <v>5</v>
      </c>
    </row>
    <row r="2999" spans="1:2" x14ac:dyDescent="0.2">
      <c r="A2999" t="str">
        <f>"CEACAM21"</f>
        <v>CEACAM21</v>
      </c>
      <c r="B2999" t="s">
        <v>5</v>
      </c>
    </row>
    <row r="3000" spans="1:2" x14ac:dyDescent="0.2">
      <c r="A3000" t="str">
        <f>"CEACAM3"</f>
        <v>CEACAM3</v>
      </c>
      <c r="B3000" t="s">
        <v>5</v>
      </c>
    </row>
    <row r="3001" spans="1:2" x14ac:dyDescent="0.2">
      <c r="A3001" t="str">
        <f>"CEACAM4"</f>
        <v>CEACAM4</v>
      </c>
      <c r="B3001" t="s">
        <v>5</v>
      </c>
    </row>
    <row r="3002" spans="1:2" x14ac:dyDescent="0.2">
      <c r="A3002" t="str">
        <f>"CEACAM5"</f>
        <v>CEACAM5</v>
      </c>
      <c r="B3002" t="s">
        <v>7</v>
      </c>
    </row>
    <row r="3003" spans="1:2" x14ac:dyDescent="0.2">
      <c r="A3003" t="str">
        <f>"CEACAM6"</f>
        <v>CEACAM6</v>
      </c>
      <c r="B3003" t="s">
        <v>5</v>
      </c>
    </row>
    <row r="3004" spans="1:2" x14ac:dyDescent="0.2">
      <c r="A3004" t="str">
        <f>"CEACAM7"</f>
        <v>CEACAM7</v>
      </c>
      <c r="B3004" t="s">
        <v>5</v>
      </c>
    </row>
    <row r="3005" spans="1:2" x14ac:dyDescent="0.2">
      <c r="A3005" t="str">
        <f>"CEACAM8"</f>
        <v>CEACAM8</v>
      </c>
      <c r="B3005" t="s">
        <v>4</v>
      </c>
    </row>
    <row r="3006" spans="1:2" x14ac:dyDescent="0.2">
      <c r="A3006" t="str">
        <f>"CEBPA"</f>
        <v>CEBPA</v>
      </c>
      <c r="B3006" t="s">
        <v>3</v>
      </c>
    </row>
    <row r="3007" spans="1:2" x14ac:dyDescent="0.2">
      <c r="A3007" t="str">
        <f>"CEBPB"</f>
        <v>CEBPB</v>
      </c>
      <c r="B3007" t="s">
        <v>3</v>
      </c>
    </row>
    <row r="3008" spans="1:2" x14ac:dyDescent="0.2">
      <c r="A3008" t="str">
        <f>"CEBPD"</f>
        <v>CEBPD</v>
      </c>
      <c r="B3008" t="s">
        <v>8</v>
      </c>
    </row>
    <row r="3009" spans="1:2" x14ac:dyDescent="0.2">
      <c r="A3009" t="str">
        <f>"CEBPE"</f>
        <v>CEBPE</v>
      </c>
      <c r="B3009" t="s">
        <v>8</v>
      </c>
    </row>
    <row r="3010" spans="1:2" x14ac:dyDescent="0.2">
      <c r="A3010" t="str">
        <f>"CEBPG"</f>
        <v>CEBPG</v>
      </c>
      <c r="B3010" t="s">
        <v>3</v>
      </c>
    </row>
    <row r="3011" spans="1:2" x14ac:dyDescent="0.2">
      <c r="A3011" t="str">
        <f>"CEBPZ"</f>
        <v>CEBPZ</v>
      </c>
      <c r="B3011" t="s">
        <v>8</v>
      </c>
    </row>
    <row r="3012" spans="1:2" x14ac:dyDescent="0.2">
      <c r="A3012" t="str">
        <f>"CECR1"</f>
        <v>CECR1</v>
      </c>
      <c r="B3012" t="s">
        <v>6</v>
      </c>
    </row>
    <row r="3013" spans="1:2" x14ac:dyDescent="0.2">
      <c r="A3013" t="str">
        <f>"CECR2"</f>
        <v>CECR2</v>
      </c>
      <c r="B3013" t="s">
        <v>2</v>
      </c>
    </row>
    <row r="3014" spans="1:2" x14ac:dyDescent="0.2">
      <c r="A3014" t="str">
        <f>"CECR5"</f>
        <v>CECR5</v>
      </c>
      <c r="B3014" t="s">
        <v>2</v>
      </c>
    </row>
    <row r="3015" spans="1:2" x14ac:dyDescent="0.2">
      <c r="A3015" t="str">
        <f>"CECR6"</f>
        <v>CECR6</v>
      </c>
      <c r="B3015" t="s">
        <v>8</v>
      </c>
    </row>
    <row r="3016" spans="1:2" x14ac:dyDescent="0.2">
      <c r="A3016" t="str">
        <f>"CEL"</f>
        <v>CEL</v>
      </c>
      <c r="B3016" t="s">
        <v>7</v>
      </c>
    </row>
    <row r="3017" spans="1:2" x14ac:dyDescent="0.2">
      <c r="A3017" t="str">
        <f>"CELA1"</f>
        <v>CELA1</v>
      </c>
      <c r="B3017" t="s">
        <v>7</v>
      </c>
    </row>
    <row r="3018" spans="1:2" x14ac:dyDescent="0.2">
      <c r="A3018" t="str">
        <f>"CELA2A"</f>
        <v>CELA2A</v>
      </c>
      <c r="B3018" t="s">
        <v>7</v>
      </c>
    </row>
    <row r="3019" spans="1:2" x14ac:dyDescent="0.2">
      <c r="A3019" t="str">
        <f>"CELA2B"</f>
        <v>CELA2B</v>
      </c>
      <c r="B3019" t="s">
        <v>2</v>
      </c>
    </row>
    <row r="3020" spans="1:2" x14ac:dyDescent="0.2">
      <c r="A3020" t="str">
        <f>"CELA3A"</f>
        <v>CELA3A</v>
      </c>
      <c r="B3020" t="s">
        <v>2</v>
      </c>
    </row>
    <row r="3021" spans="1:2" x14ac:dyDescent="0.2">
      <c r="A3021" t="str">
        <f>"CELA3B"</f>
        <v>CELA3B</v>
      </c>
      <c r="B3021" t="s">
        <v>2</v>
      </c>
    </row>
    <row r="3022" spans="1:2" x14ac:dyDescent="0.2">
      <c r="A3022" t="str">
        <f>"CELF1"</f>
        <v>CELF1</v>
      </c>
      <c r="B3022" t="s">
        <v>8</v>
      </c>
    </row>
    <row r="3023" spans="1:2" x14ac:dyDescent="0.2">
      <c r="A3023" t="str">
        <f>"CELF2"</f>
        <v>CELF2</v>
      </c>
      <c r="B3023" t="s">
        <v>8</v>
      </c>
    </row>
    <row r="3024" spans="1:2" x14ac:dyDescent="0.2">
      <c r="A3024" t="str">
        <f>"CELF3"</f>
        <v>CELF3</v>
      </c>
      <c r="B3024" t="s">
        <v>8</v>
      </c>
    </row>
    <row r="3025" spans="1:2" x14ac:dyDescent="0.2">
      <c r="A3025" t="str">
        <f>"CELF4"</f>
        <v>CELF4</v>
      </c>
      <c r="B3025" t="s">
        <v>8</v>
      </c>
    </row>
    <row r="3026" spans="1:2" x14ac:dyDescent="0.2">
      <c r="A3026" t="str">
        <f>"CELF5"</f>
        <v>CELF5</v>
      </c>
      <c r="B3026" t="s">
        <v>8</v>
      </c>
    </row>
    <row r="3027" spans="1:2" x14ac:dyDescent="0.2">
      <c r="A3027" t="str">
        <f>"CELF6"</f>
        <v>CELF6</v>
      </c>
      <c r="B3027" t="s">
        <v>8</v>
      </c>
    </row>
    <row r="3028" spans="1:2" x14ac:dyDescent="0.2">
      <c r="A3028" t="str">
        <f>"CELSR1"</f>
        <v>CELSR1</v>
      </c>
      <c r="B3028" t="s">
        <v>5</v>
      </c>
    </row>
    <row r="3029" spans="1:2" x14ac:dyDescent="0.2">
      <c r="A3029" t="str">
        <f>"CELSR2"</f>
        <v>CELSR2</v>
      </c>
      <c r="B3029" t="s">
        <v>5</v>
      </c>
    </row>
    <row r="3030" spans="1:2" x14ac:dyDescent="0.2">
      <c r="A3030" t="str">
        <f>"CELSR3"</f>
        <v>CELSR3</v>
      </c>
      <c r="B3030" t="s">
        <v>5</v>
      </c>
    </row>
    <row r="3031" spans="1:2" x14ac:dyDescent="0.2">
      <c r="A3031" t="str">
        <f>"CEMP1"</f>
        <v>CEMP1</v>
      </c>
      <c r="B3031" t="s">
        <v>4</v>
      </c>
    </row>
    <row r="3032" spans="1:2" x14ac:dyDescent="0.2">
      <c r="A3032" t="str">
        <f>"CEND1"</f>
        <v>CEND1</v>
      </c>
      <c r="B3032" t="s">
        <v>5</v>
      </c>
    </row>
    <row r="3033" spans="1:2" x14ac:dyDescent="0.2">
      <c r="A3033" t="str">
        <f>"CENPA"</f>
        <v>CENPA</v>
      </c>
      <c r="B3033" t="s">
        <v>2</v>
      </c>
    </row>
    <row r="3034" spans="1:2" x14ac:dyDescent="0.2">
      <c r="A3034" t="str">
        <f>"CENPB"</f>
        <v>CENPB</v>
      </c>
      <c r="B3034" t="s">
        <v>2</v>
      </c>
    </row>
    <row r="3035" spans="1:2" x14ac:dyDescent="0.2">
      <c r="A3035" t="str">
        <f>"CENPBD1"</f>
        <v>CENPBD1</v>
      </c>
      <c r="B3035" t="s">
        <v>8</v>
      </c>
    </row>
    <row r="3036" spans="1:2" x14ac:dyDescent="0.2">
      <c r="A3036" t="str">
        <f>"CENPC"</f>
        <v>CENPC</v>
      </c>
      <c r="B3036" t="s">
        <v>2</v>
      </c>
    </row>
    <row r="3037" spans="1:2" x14ac:dyDescent="0.2">
      <c r="A3037" t="str">
        <f>"CENPE"</f>
        <v>CENPE</v>
      </c>
      <c r="B3037" t="s">
        <v>3</v>
      </c>
    </row>
    <row r="3038" spans="1:2" x14ac:dyDescent="0.2">
      <c r="A3038" t="str">
        <f>"CENPF"</f>
        <v>CENPF</v>
      </c>
      <c r="B3038" t="s">
        <v>3</v>
      </c>
    </row>
    <row r="3039" spans="1:2" x14ac:dyDescent="0.2">
      <c r="A3039" t="str">
        <f>"CENPH"</f>
        <v>CENPH</v>
      </c>
      <c r="B3039" t="s">
        <v>8</v>
      </c>
    </row>
    <row r="3040" spans="1:2" x14ac:dyDescent="0.2">
      <c r="A3040" t="str">
        <f>"CENPI"</f>
        <v>CENPI</v>
      </c>
      <c r="B3040" t="s">
        <v>3</v>
      </c>
    </row>
    <row r="3041" spans="1:2" x14ac:dyDescent="0.2">
      <c r="A3041" t="str">
        <f>"CENPJ"</f>
        <v>CENPJ</v>
      </c>
      <c r="B3041" t="s">
        <v>3</v>
      </c>
    </row>
    <row r="3042" spans="1:2" x14ac:dyDescent="0.2">
      <c r="A3042" t="str">
        <f>"CENPK"</f>
        <v>CENPK</v>
      </c>
      <c r="B3042" t="s">
        <v>8</v>
      </c>
    </row>
    <row r="3043" spans="1:2" x14ac:dyDescent="0.2">
      <c r="A3043" t="str">
        <f>"CENPL"</f>
        <v>CENPL</v>
      </c>
      <c r="B3043" t="s">
        <v>3</v>
      </c>
    </row>
    <row r="3044" spans="1:2" x14ac:dyDescent="0.2">
      <c r="A3044" t="str">
        <f>"CENPM"</f>
        <v>CENPM</v>
      </c>
      <c r="B3044" t="s">
        <v>3</v>
      </c>
    </row>
    <row r="3045" spans="1:2" x14ac:dyDescent="0.2">
      <c r="A3045" t="str">
        <f>"CENPN"</f>
        <v>CENPN</v>
      </c>
      <c r="B3045" t="s">
        <v>3</v>
      </c>
    </row>
    <row r="3046" spans="1:2" x14ac:dyDescent="0.2">
      <c r="A3046" t="str">
        <f>"CENPO"</f>
        <v>CENPO</v>
      </c>
      <c r="B3046" t="s">
        <v>2</v>
      </c>
    </row>
    <row r="3047" spans="1:2" x14ac:dyDescent="0.2">
      <c r="A3047" t="str">
        <f>"CENPP"</f>
        <v>CENPP</v>
      </c>
      <c r="B3047" t="s">
        <v>2</v>
      </c>
    </row>
    <row r="3048" spans="1:2" x14ac:dyDescent="0.2">
      <c r="A3048" t="str">
        <f>"CENPQ"</f>
        <v>CENPQ</v>
      </c>
      <c r="B3048" t="s">
        <v>3</v>
      </c>
    </row>
    <row r="3049" spans="1:2" x14ac:dyDescent="0.2">
      <c r="A3049" t="str">
        <f>"CENPT"</f>
        <v>CENPT</v>
      </c>
      <c r="B3049" t="s">
        <v>8</v>
      </c>
    </row>
    <row r="3050" spans="1:2" x14ac:dyDescent="0.2">
      <c r="A3050" t="str">
        <f>"CENPV"</f>
        <v>CENPV</v>
      </c>
      <c r="B3050" t="s">
        <v>3</v>
      </c>
    </row>
    <row r="3051" spans="1:2" x14ac:dyDescent="0.2">
      <c r="A3051" t="str">
        <f>"CENPW"</f>
        <v>CENPW</v>
      </c>
      <c r="B3051" t="s">
        <v>8</v>
      </c>
    </row>
    <row r="3052" spans="1:2" x14ac:dyDescent="0.2">
      <c r="A3052" t="str">
        <f>"CEP104"</f>
        <v>CEP104</v>
      </c>
      <c r="B3052" t="s">
        <v>8</v>
      </c>
    </row>
    <row r="3053" spans="1:2" x14ac:dyDescent="0.2">
      <c r="A3053" t="str">
        <f>"CEP112"</f>
        <v>CEP112</v>
      </c>
      <c r="B3053" t="s">
        <v>4</v>
      </c>
    </row>
    <row r="3054" spans="1:2" x14ac:dyDescent="0.2">
      <c r="A3054" t="str">
        <f>"CEP120"</f>
        <v>CEP120</v>
      </c>
      <c r="B3054" t="s">
        <v>5</v>
      </c>
    </row>
    <row r="3055" spans="1:2" x14ac:dyDescent="0.2">
      <c r="A3055" t="str">
        <f>"CEP128"</f>
        <v>CEP128</v>
      </c>
      <c r="B3055" t="s">
        <v>3</v>
      </c>
    </row>
    <row r="3056" spans="1:2" x14ac:dyDescent="0.2">
      <c r="A3056" t="str">
        <f>"CEP135"</f>
        <v>CEP135</v>
      </c>
      <c r="B3056" t="s">
        <v>3</v>
      </c>
    </row>
    <row r="3057" spans="1:2" x14ac:dyDescent="0.2">
      <c r="A3057" t="str">
        <f>"CEP152"</f>
        <v>CEP152</v>
      </c>
      <c r="B3057" t="s">
        <v>3</v>
      </c>
    </row>
    <row r="3058" spans="1:2" x14ac:dyDescent="0.2">
      <c r="A3058" t="str">
        <f>"CEP164"</f>
        <v>CEP164</v>
      </c>
      <c r="B3058" t="s">
        <v>4</v>
      </c>
    </row>
    <row r="3059" spans="1:2" x14ac:dyDescent="0.2">
      <c r="A3059" t="str">
        <f>"CEP170"</f>
        <v>CEP170</v>
      </c>
      <c r="B3059" t="s">
        <v>2</v>
      </c>
    </row>
    <row r="3060" spans="1:2" x14ac:dyDescent="0.2">
      <c r="A3060" t="str">
        <f>"CEP170B"</f>
        <v>CEP170B</v>
      </c>
      <c r="B3060" t="s">
        <v>6</v>
      </c>
    </row>
    <row r="3061" spans="1:2" x14ac:dyDescent="0.2">
      <c r="A3061" t="str">
        <f>"CEP19"</f>
        <v>CEP19</v>
      </c>
      <c r="B3061" t="s">
        <v>4</v>
      </c>
    </row>
    <row r="3062" spans="1:2" x14ac:dyDescent="0.2">
      <c r="A3062" t="str">
        <f>"CEP192"</f>
        <v>CEP192</v>
      </c>
      <c r="B3062" t="s">
        <v>3</v>
      </c>
    </row>
    <row r="3063" spans="1:2" x14ac:dyDescent="0.2">
      <c r="A3063" t="str">
        <f>"CEP250"</f>
        <v>CEP250</v>
      </c>
      <c r="B3063" t="s">
        <v>3</v>
      </c>
    </row>
    <row r="3064" spans="1:2" x14ac:dyDescent="0.2">
      <c r="A3064" t="str">
        <f>"CEP290"</f>
        <v>CEP290</v>
      </c>
      <c r="B3064" t="s">
        <v>4</v>
      </c>
    </row>
    <row r="3065" spans="1:2" x14ac:dyDescent="0.2">
      <c r="A3065" t="str">
        <f>"CEP350"</f>
        <v>CEP350</v>
      </c>
      <c r="B3065" t="s">
        <v>3</v>
      </c>
    </row>
    <row r="3066" spans="1:2" x14ac:dyDescent="0.2">
      <c r="A3066" t="str">
        <f>"CEP41"</f>
        <v>CEP41</v>
      </c>
      <c r="B3066" t="s">
        <v>3</v>
      </c>
    </row>
    <row r="3067" spans="1:2" x14ac:dyDescent="0.2">
      <c r="A3067" t="str">
        <f>"CEP44"</f>
        <v>CEP44</v>
      </c>
      <c r="B3067" t="s">
        <v>4</v>
      </c>
    </row>
    <row r="3068" spans="1:2" x14ac:dyDescent="0.2">
      <c r="A3068" t="str">
        <f>"CEP55"</f>
        <v>CEP55</v>
      </c>
      <c r="B3068" t="s">
        <v>3</v>
      </c>
    </row>
    <row r="3069" spans="1:2" x14ac:dyDescent="0.2">
      <c r="A3069" t="str">
        <f>"CEP57"</f>
        <v>CEP57</v>
      </c>
      <c r="B3069" t="s">
        <v>3</v>
      </c>
    </row>
    <row r="3070" spans="1:2" x14ac:dyDescent="0.2">
      <c r="A3070" t="str">
        <f>"CEP57L1"</f>
        <v>CEP57L1</v>
      </c>
      <c r="B3070" t="s">
        <v>4</v>
      </c>
    </row>
    <row r="3071" spans="1:2" x14ac:dyDescent="0.2">
      <c r="A3071" t="str">
        <f>"CEP63"</f>
        <v>CEP63</v>
      </c>
      <c r="B3071" t="s">
        <v>3</v>
      </c>
    </row>
    <row r="3072" spans="1:2" x14ac:dyDescent="0.2">
      <c r="A3072" t="str">
        <f>"CEP68"</f>
        <v>CEP68</v>
      </c>
      <c r="B3072" t="s">
        <v>3</v>
      </c>
    </row>
    <row r="3073" spans="1:2" x14ac:dyDescent="0.2">
      <c r="A3073" t="str">
        <f>"CEP70"</f>
        <v>CEP70</v>
      </c>
      <c r="B3073" t="s">
        <v>3</v>
      </c>
    </row>
    <row r="3074" spans="1:2" x14ac:dyDescent="0.2">
      <c r="A3074" t="str">
        <f>"CEP72"</f>
        <v>CEP72</v>
      </c>
      <c r="B3074" t="s">
        <v>3</v>
      </c>
    </row>
    <row r="3075" spans="1:2" x14ac:dyDescent="0.2">
      <c r="A3075" t="str">
        <f>"CEP76"</f>
        <v>CEP76</v>
      </c>
      <c r="B3075" t="s">
        <v>3</v>
      </c>
    </row>
    <row r="3076" spans="1:2" x14ac:dyDescent="0.2">
      <c r="A3076" t="str">
        <f>"CEP78"</f>
        <v>CEP78</v>
      </c>
      <c r="B3076" t="s">
        <v>3</v>
      </c>
    </row>
    <row r="3077" spans="1:2" x14ac:dyDescent="0.2">
      <c r="A3077" t="str">
        <f>"CEP85"</f>
        <v>CEP85</v>
      </c>
      <c r="B3077" t="s">
        <v>4</v>
      </c>
    </row>
    <row r="3078" spans="1:2" x14ac:dyDescent="0.2">
      <c r="A3078" t="str">
        <f>"CEP85L"</f>
        <v>CEP85L</v>
      </c>
      <c r="B3078" t="s">
        <v>4</v>
      </c>
    </row>
    <row r="3079" spans="1:2" x14ac:dyDescent="0.2">
      <c r="A3079" t="str">
        <f>"CEP89"</f>
        <v>CEP89</v>
      </c>
      <c r="B3079" t="s">
        <v>6</v>
      </c>
    </row>
    <row r="3080" spans="1:2" x14ac:dyDescent="0.2">
      <c r="A3080" t="str">
        <f>"CEP95"</f>
        <v>CEP95</v>
      </c>
      <c r="B3080" t="s">
        <v>4</v>
      </c>
    </row>
    <row r="3081" spans="1:2" x14ac:dyDescent="0.2">
      <c r="A3081" t="str">
        <f>"CEP97"</f>
        <v>CEP97</v>
      </c>
      <c r="B3081" t="s">
        <v>4</v>
      </c>
    </row>
    <row r="3082" spans="1:2" x14ac:dyDescent="0.2">
      <c r="A3082" t="str">
        <f>"CEPT1"</f>
        <v>CEPT1</v>
      </c>
      <c r="B3082" t="s">
        <v>2</v>
      </c>
    </row>
    <row r="3083" spans="1:2" x14ac:dyDescent="0.2">
      <c r="A3083" t="str">
        <f>"CER1"</f>
        <v>CER1</v>
      </c>
      <c r="B3083" t="s">
        <v>4</v>
      </c>
    </row>
    <row r="3084" spans="1:2" x14ac:dyDescent="0.2">
      <c r="A3084" t="str">
        <f>"CERCAM"</f>
        <v>CERCAM</v>
      </c>
      <c r="B3084" t="s">
        <v>6</v>
      </c>
    </row>
    <row r="3085" spans="1:2" x14ac:dyDescent="0.2">
      <c r="A3085" t="str">
        <f>"CERK"</f>
        <v>CERK</v>
      </c>
      <c r="B3085" t="s">
        <v>7</v>
      </c>
    </row>
    <row r="3086" spans="1:2" x14ac:dyDescent="0.2">
      <c r="A3086" t="str">
        <f>"CERKL"</f>
        <v>CERKL</v>
      </c>
      <c r="B3086" t="s">
        <v>7</v>
      </c>
    </row>
    <row r="3087" spans="1:2" x14ac:dyDescent="0.2">
      <c r="A3087" t="str">
        <f>"CERS1"</f>
        <v>CERS1</v>
      </c>
      <c r="B3087" t="s">
        <v>2</v>
      </c>
    </row>
    <row r="3088" spans="1:2" x14ac:dyDescent="0.2">
      <c r="A3088" t="str">
        <f>"CERS2"</f>
        <v>CERS2</v>
      </c>
      <c r="B3088" t="s">
        <v>2</v>
      </c>
    </row>
    <row r="3089" spans="1:2" x14ac:dyDescent="0.2">
      <c r="A3089" t="str">
        <f>"CERS3"</f>
        <v>CERS3</v>
      </c>
      <c r="B3089" t="s">
        <v>2</v>
      </c>
    </row>
    <row r="3090" spans="1:2" x14ac:dyDescent="0.2">
      <c r="A3090" t="str">
        <f>"CERS4"</f>
        <v>CERS4</v>
      </c>
      <c r="B3090" t="s">
        <v>6</v>
      </c>
    </row>
    <row r="3091" spans="1:2" x14ac:dyDescent="0.2">
      <c r="A3091" t="str">
        <f>"CERS5"</f>
        <v>CERS5</v>
      </c>
      <c r="B3091" t="s">
        <v>6</v>
      </c>
    </row>
    <row r="3092" spans="1:2" x14ac:dyDescent="0.2">
      <c r="A3092" t="str">
        <f>"CERS6"</f>
        <v>CERS6</v>
      </c>
      <c r="B3092" t="s">
        <v>2</v>
      </c>
    </row>
    <row r="3093" spans="1:2" x14ac:dyDescent="0.2">
      <c r="A3093" t="str">
        <f>"CES1"</f>
        <v>CES1</v>
      </c>
      <c r="B3093" t="s">
        <v>7</v>
      </c>
    </row>
    <row r="3094" spans="1:2" x14ac:dyDescent="0.2">
      <c r="A3094" t="str">
        <f>"CES2"</f>
        <v>CES2</v>
      </c>
      <c r="B3094" t="s">
        <v>6</v>
      </c>
    </row>
    <row r="3095" spans="1:2" x14ac:dyDescent="0.2">
      <c r="A3095" t="str">
        <f>"CES3"</f>
        <v>CES3</v>
      </c>
      <c r="B3095" t="s">
        <v>3</v>
      </c>
    </row>
    <row r="3096" spans="1:2" x14ac:dyDescent="0.2">
      <c r="A3096" t="str">
        <f>"CES4A"</f>
        <v>CES4A</v>
      </c>
      <c r="B3096" t="s">
        <v>4</v>
      </c>
    </row>
    <row r="3097" spans="1:2" x14ac:dyDescent="0.2">
      <c r="A3097" t="str">
        <f>"CES5A"</f>
        <v>CES5A</v>
      </c>
      <c r="B3097" t="s">
        <v>3</v>
      </c>
    </row>
    <row r="3098" spans="1:2" x14ac:dyDescent="0.2">
      <c r="A3098" t="str">
        <f>"CETN1"</f>
        <v>CETN1</v>
      </c>
      <c r="B3098" t="s">
        <v>3</v>
      </c>
    </row>
    <row r="3099" spans="1:2" x14ac:dyDescent="0.2">
      <c r="A3099" t="str">
        <f>"CETN2"</f>
        <v>CETN2</v>
      </c>
      <c r="B3099" t="s">
        <v>3</v>
      </c>
    </row>
    <row r="3100" spans="1:2" x14ac:dyDescent="0.2">
      <c r="A3100" t="str">
        <f>"CETN3"</f>
        <v>CETN3</v>
      </c>
      <c r="B3100" t="s">
        <v>3</v>
      </c>
    </row>
    <row r="3101" spans="1:2" x14ac:dyDescent="0.2">
      <c r="A3101" t="str">
        <f>"CETP"</f>
        <v>CETP</v>
      </c>
      <c r="B3101" t="s">
        <v>2</v>
      </c>
    </row>
    <row r="3102" spans="1:2" x14ac:dyDescent="0.2">
      <c r="A3102" t="str">
        <f>"CFB"</f>
        <v>CFB</v>
      </c>
      <c r="B3102" t="s">
        <v>7</v>
      </c>
    </row>
    <row r="3103" spans="1:2" x14ac:dyDescent="0.2">
      <c r="A3103" t="str">
        <f>"CFC1"</f>
        <v>CFC1</v>
      </c>
      <c r="B3103" t="s">
        <v>4</v>
      </c>
    </row>
    <row r="3104" spans="1:2" x14ac:dyDescent="0.2">
      <c r="A3104" t="str">
        <f>"CFC1B"</f>
        <v>CFC1B</v>
      </c>
      <c r="B3104" t="s">
        <v>4</v>
      </c>
    </row>
    <row r="3105" spans="1:2" x14ac:dyDescent="0.2">
      <c r="A3105" t="str">
        <f>"CFD"</f>
        <v>CFD</v>
      </c>
      <c r="B3105" t="s">
        <v>7</v>
      </c>
    </row>
    <row r="3106" spans="1:2" x14ac:dyDescent="0.2">
      <c r="A3106" t="str">
        <f>"CFDP1"</f>
        <v>CFDP1</v>
      </c>
      <c r="B3106" t="s">
        <v>2</v>
      </c>
    </row>
    <row r="3107" spans="1:2" x14ac:dyDescent="0.2">
      <c r="A3107" t="str">
        <f>"CFH"</f>
        <v>CFH</v>
      </c>
      <c r="B3107" t="s">
        <v>2</v>
      </c>
    </row>
    <row r="3108" spans="1:2" x14ac:dyDescent="0.2">
      <c r="A3108" t="str">
        <f>"CFHR1"</f>
        <v>CFHR1</v>
      </c>
      <c r="B3108" t="s">
        <v>4</v>
      </c>
    </row>
    <row r="3109" spans="1:2" x14ac:dyDescent="0.2">
      <c r="A3109" t="str">
        <f>"CFHR2"</f>
        <v>CFHR2</v>
      </c>
      <c r="B3109" t="s">
        <v>4</v>
      </c>
    </row>
    <row r="3110" spans="1:2" x14ac:dyDescent="0.2">
      <c r="A3110" t="str">
        <f>"CFHR3"</f>
        <v>CFHR3</v>
      </c>
      <c r="B3110" t="s">
        <v>4</v>
      </c>
    </row>
    <row r="3111" spans="1:2" x14ac:dyDescent="0.2">
      <c r="A3111" t="str">
        <f>"CFHR4"</f>
        <v>CFHR4</v>
      </c>
      <c r="B3111" t="s">
        <v>2</v>
      </c>
    </row>
    <row r="3112" spans="1:2" x14ac:dyDescent="0.2">
      <c r="A3112" t="str">
        <f>"CFHR5"</f>
        <v>CFHR5</v>
      </c>
      <c r="B3112" t="s">
        <v>4</v>
      </c>
    </row>
    <row r="3113" spans="1:2" x14ac:dyDescent="0.2">
      <c r="A3113" t="str">
        <f>"CFI"</f>
        <v>CFI</v>
      </c>
      <c r="B3113" t="s">
        <v>2</v>
      </c>
    </row>
    <row r="3114" spans="1:2" x14ac:dyDescent="0.2">
      <c r="A3114" t="str">
        <f>"CFL1"</f>
        <v>CFL1</v>
      </c>
      <c r="B3114" t="s">
        <v>7</v>
      </c>
    </row>
    <row r="3115" spans="1:2" x14ac:dyDescent="0.2">
      <c r="A3115" t="str">
        <f>"CFL2"</f>
        <v>CFL2</v>
      </c>
      <c r="B3115" t="s">
        <v>2</v>
      </c>
    </row>
    <row r="3116" spans="1:2" x14ac:dyDescent="0.2">
      <c r="A3116" t="str">
        <f>"CFLAR"</f>
        <v>CFLAR</v>
      </c>
      <c r="B3116" t="s">
        <v>2</v>
      </c>
    </row>
    <row r="3117" spans="1:2" x14ac:dyDescent="0.2">
      <c r="A3117" t="str">
        <f>"CFP"</f>
        <v>CFP</v>
      </c>
      <c r="B3117" t="s">
        <v>3</v>
      </c>
    </row>
    <row r="3118" spans="1:2" x14ac:dyDescent="0.2">
      <c r="A3118" t="str">
        <f>"CFTR"</f>
        <v>CFTR</v>
      </c>
      <c r="B3118" t="s">
        <v>7</v>
      </c>
    </row>
    <row r="3119" spans="1:2" x14ac:dyDescent="0.2">
      <c r="A3119" t="str">
        <f>"CGA"</f>
        <v>CGA</v>
      </c>
      <c r="B3119" t="s">
        <v>7</v>
      </c>
    </row>
    <row r="3120" spans="1:2" x14ac:dyDescent="0.2">
      <c r="A3120" t="str">
        <f>"CGB"</f>
        <v>CGB</v>
      </c>
      <c r="B3120" t="s">
        <v>3</v>
      </c>
    </row>
    <row r="3121" spans="1:2" x14ac:dyDescent="0.2">
      <c r="A3121" t="str">
        <f>"CGB1"</f>
        <v>CGB1</v>
      </c>
      <c r="B3121" t="s">
        <v>4</v>
      </c>
    </row>
    <row r="3122" spans="1:2" x14ac:dyDescent="0.2">
      <c r="A3122" t="str">
        <f>"CGB2"</f>
        <v>CGB2</v>
      </c>
      <c r="B3122" t="s">
        <v>4</v>
      </c>
    </row>
    <row r="3123" spans="1:2" x14ac:dyDescent="0.2">
      <c r="A3123" t="str">
        <f>"CGB5"</f>
        <v>CGB5</v>
      </c>
      <c r="B3123" t="s">
        <v>3</v>
      </c>
    </row>
    <row r="3124" spans="1:2" x14ac:dyDescent="0.2">
      <c r="A3124" t="str">
        <f>"CGB7"</f>
        <v>CGB7</v>
      </c>
      <c r="B3124" t="s">
        <v>4</v>
      </c>
    </row>
    <row r="3125" spans="1:2" x14ac:dyDescent="0.2">
      <c r="A3125" t="str">
        <f>"CGB8"</f>
        <v>CGB8</v>
      </c>
      <c r="B3125" t="s">
        <v>4</v>
      </c>
    </row>
    <row r="3126" spans="1:2" x14ac:dyDescent="0.2">
      <c r="A3126" t="str">
        <f>"CGGBP1"</f>
        <v>CGGBP1</v>
      </c>
      <c r="B3126" t="s">
        <v>8</v>
      </c>
    </row>
    <row r="3127" spans="1:2" x14ac:dyDescent="0.2">
      <c r="A3127" t="str">
        <f>"CGN"</f>
        <v>CGN</v>
      </c>
      <c r="B3127" t="s">
        <v>6</v>
      </c>
    </row>
    <row r="3128" spans="1:2" x14ac:dyDescent="0.2">
      <c r="A3128" t="str">
        <f>"CGNL1"</f>
        <v>CGNL1</v>
      </c>
      <c r="B3128" t="s">
        <v>6</v>
      </c>
    </row>
    <row r="3129" spans="1:2" x14ac:dyDescent="0.2">
      <c r="A3129" t="str">
        <f>"CGREF1"</f>
        <v>CGREF1</v>
      </c>
      <c r="B3129" t="s">
        <v>3</v>
      </c>
    </row>
    <row r="3130" spans="1:2" x14ac:dyDescent="0.2">
      <c r="A3130" t="str">
        <f>"CGRRF1"</f>
        <v>CGRRF1</v>
      </c>
      <c r="B3130" t="s">
        <v>3</v>
      </c>
    </row>
    <row r="3131" spans="1:2" x14ac:dyDescent="0.2">
      <c r="A3131" t="str">
        <f>"CH25H"</f>
        <v>CH25H</v>
      </c>
      <c r="B3131" t="s">
        <v>6</v>
      </c>
    </row>
    <row r="3132" spans="1:2" x14ac:dyDescent="0.2">
      <c r="A3132" t="str">
        <f>"CHAC1"</f>
        <v>CHAC1</v>
      </c>
      <c r="B3132" t="s">
        <v>4</v>
      </c>
    </row>
    <row r="3133" spans="1:2" x14ac:dyDescent="0.2">
      <c r="A3133" t="str">
        <f>"CHAC2"</f>
        <v>CHAC2</v>
      </c>
      <c r="B3133" t="s">
        <v>4</v>
      </c>
    </row>
    <row r="3134" spans="1:2" x14ac:dyDescent="0.2">
      <c r="A3134" t="str">
        <f>"CHAD"</f>
        <v>CHAD</v>
      </c>
      <c r="B3134" t="s">
        <v>4</v>
      </c>
    </row>
    <row r="3135" spans="1:2" x14ac:dyDescent="0.2">
      <c r="A3135" t="str">
        <f>"CHADL"</f>
        <v>CHADL</v>
      </c>
      <c r="B3135" t="s">
        <v>4</v>
      </c>
    </row>
    <row r="3136" spans="1:2" x14ac:dyDescent="0.2">
      <c r="A3136" t="str">
        <f>"CHAF1A"</f>
        <v>CHAF1A</v>
      </c>
      <c r="B3136" t="s">
        <v>3</v>
      </c>
    </row>
    <row r="3137" spans="1:2" x14ac:dyDescent="0.2">
      <c r="A3137" t="str">
        <f>"CHAF1B"</f>
        <v>CHAF1B</v>
      </c>
      <c r="B3137" t="s">
        <v>3</v>
      </c>
    </row>
    <row r="3138" spans="1:2" x14ac:dyDescent="0.2">
      <c r="A3138" t="str">
        <f>"CHAMP1"</f>
        <v>CHAMP1</v>
      </c>
      <c r="B3138" t="s">
        <v>8</v>
      </c>
    </row>
    <row r="3139" spans="1:2" x14ac:dyDescent="0.2">
      <c r="A3139" t="str">
        <f>"CHAT"</f>
        <v>CHAT</v>
      </c>
      <c r="B3139" t="s">
        <v>3</v>
      </c>
    </row>
    <row r="3140" spans="1:2" x14ac:dyDescent="0.2">
      <c r="A3140" t="str">
        <f>"CHCHD1"</f>
        <v>CHCHD1</v>
      </c>
      <c r="B3140" t="s">
        <v>6</v>
      </c>
    </row>
    <row r="3141" spans="1:2" x14ac:dyDescent="0.2">
      <c r="A3141" t="str">
        <f>"CHCHD10"</f>
        <v>CHCHD10</v>
      </c>
      <c r="B3141" t="s">
        <v>6</v>
      </c>
    </row>
    <row r="3142" spans="1:2" x14ac:dyDescent="0.2">
      <c r="A3142" t="str">
        <f>"CHCHD2"</f>
        <v>CHCHD2</v>
      </c>
      <c r="B3142" t="s">
        <v>6</v>
      </c>
    </row>
    <row r="3143" spans="1:2" x14ac:dyDescent="0.2">
      <c r="A3143" t="str">
        <f>"CHCHD3"</f>
        <v>CHCHD3</v>
      </c>
      <c r="B3143" t="s">
        <v>6</v>
      </c>
    </row>
    <row r="3144" spans="1:2" x14ac:dyDescent="0.2">
      <c r="A3144" t="str">
        <f>"CHCHD4"</f>
        <v>CHCHD4</v>
      </c>
      <c r="B3144" t="s">
        <v>6</v>
      </c>
    </row>
    <row r="3145" spans="1:2" x14ac:dyDescent="0.2">
      <c r="A3145" t="str">
        <f>"CHCHD5"</f>
        <v>CHCHD5</v>
      </c>
      <c r="B3145" t="s">
        <v>6</v>
      </c>
    </row>
    <row r="3146" spans="1:2" x14ac:dyDescent="0.2">
      <c r="A3146" t="str">
        <f>"CHCHD6"</f>
        <v>CHCHD6</v>
      </c>
      <c r="B3146" t="s">
        <v>6</v>
      </c>
    </row>
    <row r="3147" spans="1:2" x14ac:dyDescent="0.2">
      <c r="A3147" t="str">
        <f>"CHCHD7"</f>
        <v>CHCHD7</v>
      </c>
      <c r="B3147" t="s">
        <v>6</v>
      </c>
    </row>
    <row r="3148" spans="1:2" x14ac:dyDescent="0.2">
      <c r="A3148" t="str">
        <f>"CHD1"</f>
        <v>CHD1</v>
      </c>
      <c r="B3148" t="s">
        <v>7</v>
      </c>
    </row>
    <row r="3149" spans="1:2" x14ac:dyDescent="0.2">
      <c r="A3149" t="str">
        <f>"CHD1L"</f>
        <v>CHD1L</v>
      </c>
      <c r="B3149" t="s">
        <v>8</v>
      </c>
    </row>
    <row r="3150" spans="1:2" x14ac:dyDescent="0.2">
      <c r="A3150" t="str">
        <f>"CHD2"</f>
        <v>CHD2</v>
      </c>
      <c r="B3150" t="s">
        <v>2</v>
      </c>
    </row>
    <row r="3151" spans="1:2" x14ac:dyDescent="0.2">
      <c r="A3151" t="str">
        <f>"CHD3"</f>
        <v>CHD3</v>
      </c>
      <c r="B3151" t="s">
        <v>2</v>
      </c>
    </row>
    <row r="3152" spans="1:2" x14ac:dyDescent="0.2">
      <c r="A3152" t="str">
        <f>"CHD4"</f>
        <v>CHD4</v>
      </c>
      <c r="B3152" t="s">
        <v>2</v>
      </c>
    </row>
    <row r="3153" spans="1:2" x14ac:dyDescent="0.2">
      <c r="A3153" t="str">
        <f>"CHD5"</f>
        <v>CHD5</v>
      </c>
      <c r="B3153" t="s">
        <v>2</v>
      </c>
    </row>
    <row r="3154" spans="1:2" x14ac:dyDescent="0.2">
      <c r="A3154" t="str">
        <f>"CHD6"</f>
        <v>CHD6</v>
      </c>
      <c r="B3154" t="s">
        <v>6</v>
      </c>
    </row>
    <row r="3155" spans="1:2" x14ac:dyDescent="0.2">
      <c r="A3155" t="str">
        <f>"CHD7"</f>
        <v>CHD7</v>
      </c>
      <c r="B3155" t="s">
        <v>6</v>
      </c>
    </row>
    <row r="3156" spans="1:2" x14ac:dyDescent="0.2">
      <c r="A3156" t="str">
        <f>"CHD8"</f>
        <v>CHD8</v>
      </c>
      <c r="B3156" t="s">
        <v>3</v>
      </c>
    </row>
    <row r="3157" spans="1:2" x14ac:dyDescent="0.2">
      <c r="A3157" t="str">
        <f>"CHD9"</f>
        <v>CHD9</v>
      </c>
      <c r="B3157" t="s">
        <v>3</v>
      </c>
    </row>
    <row r="3158" spans="1:2" x14ac:dyDescent="0.2">
      <c r="A3158" t="str">
        <f>"CHDC2"</f>
        <v>CHDC2</v>
      </c>
      <c r="B3158" t="s">
        <v>5</v>
      </c>
    </row>
    <row r="3159" spans="1:2" x14ac:dyDescent="0.2">
      <c r="A3159" t="str">
        <f>"CHDH"</f>
        <v>CHDH</v>
      </c>
      <c r="B3159" t="s">
        <v>6</v>
      </c>
    </row>
    <row r="3160" spans="1:2" x14ac:dyDescent="0.2">
      <c r="A3160" t="str">
        <f>"CHEK1"</f>
        <v>CHEK1</v>
      </c>
      <c r="B3160" t="s">
        <v>7</v>
      </c>
    </row>
    <row r="3161" spans="1:2" x14ac:dyDescent="0.2">
      <c r="A3161" t="str">
        <f>"CHEK2"</f>
        <v>CHEK2</v>
      </c>
      <c r="B3161" t="s">
        <v>7</v>
      </c>
    </row>
    <row r="3162" spans="1:2" x14ac:dyDescent="0.2">
      <c r="A3162" t="str">
        <f>"CHERP"</f>
        <v>CHERP</v>
      </c>
      <c r="B3162" t="s">
        <v>2</v>
      </c>
    </row>
    <row r="3163" spans="1:2" x14ac:dyDescent="0.2">
      <c r="A3163" t="str">
        <f>"CHFR"</f>
        <v>CHFR</v>
      </c>
      <c r="B3163" t="s">
        <v>3</v>
      </c>
    </row>
    <row r="3164" spans="1:2" x14ac:dyDescent="0.2">
      <c r="A3164" t="str">
        <f>"CHGA"</f>
        <v>CHGA</v>
      </c>
      <c r="B3164" t="s">
        <v>2</v>
      </c>
    </row>
    <row r="3165" spans="1:2" x14ac:dyDescent="0.2">
      <c r="A3165" t="str">
        <f>"CHGB"</f>
        <v>CHGB</v>
      </c>
      <c r="B3165" t="s">
        <v>6</v>
      </c>
    </row>
    <row r="3166" spans="1:2" x14ac:dyDescent="0.2">
      <c r="A3166" t="str">
        <f>"CHI3L1"</f>
        <v>CHI3L1</v>
      </c>
      <c r="B3166" t="s">
        <v>3</v>
      </c>
    </row>
    <row r="3167" spans="1:2" x14ac:dyDescent="0.2">
      <c r="A3167" t="str">
        <f>"CHI3L2"</f>
        <v>CHI3L2</v>
      </c>
      <c r="B3167" t="s">
        <v>4</v>
      </c>
    </row>
    <row r="3168" spans="1:2" x14ac:dyDescent="0.2">
      <c r="A3168" t="str">
        <f>"CHIA"</f>
        <v>CHIA</v>
      </c>
      <c r="B3168" t="s">
        <v>7</v>
      </c>
    </row>
    <row r="3169" spans="1:2" x14ac:dyDescent="0.2">
      <c r="A3169" t="str">
        <f>"CHIC1"</f>
        <v>CHIC1</v>
      </c>
      <c r="B3169" t="s">
        <v>6</v>
      </c>
    </row>
    <row r="3170" spans="1:2" x14ac:dyDescent="0.2">
      <c r="A3170" t="str">
        <f>"CHIC2"</f>
        <v>CHIC2</v>
      </c>
      <c r="B3170" t="s">
        <v>3</v>
      </c>
    </row>
    <row r="3171" spans="1:2" x14ac:dyDescent="0.2">
      <c r="A3171" t="str">
        <f>"CHID1"</f>
        <v>CHID1</v>
      </c>
      <c r="B3171" t="s">
        <v>2</v>
      </c>
    </row>
    <row r="3172" spans="1:2" x14ac:dyDescent="0.2">
      <c r="A3172" t="str">
        <f>"CHIT1"</f>
        <v>CHIT1</v>
      </c>
      <c r="B3172" t="s">
        <v>7</v>
      </c>
    </row>
    <row r="3173" spans="1:2" x14ac:dyDescent="0.2">
      <c r="A3173" t="str">
        <f>"CHKA"</f>
        <v>CHKA</v>
      </c>
      <c r="B3173" t="s">
        <v>7</v>
      </c>
    </row>
    <row r="3174" spans="1:2" x14ac:dyDescent="0.2">
      <c r="A3174" t="str">
        <f>"CHKB"</f>
        <v>CHKB</v>
      </c>
      <c r="B3174" t="s">
        <v>7</v>
      </c>
    </row>
    <row r="3175" spans="1:2" x14ac:dyDescent="0.2">
      <c r="A3175" t="str">
        <f>"CHL1"</f>
        <v>CHL1</v>
      </c>
      <c r="B3175" t="s">
        <v>3</v>
      </c>
    </row>
    <row r="3176" spans="1:2" x14ac:dyDescent="0.2">
      <c r="A3176" t="str">
        <f>"CHM"</f>
        <v>CHM</v>
      </c>
      <c r="B3176" t="s">
        <v>7</v>
      </c>
    </row>
    <row r="3177" spans="1:2" x14ac:dyDescent="0.2">
      <c r="A3177" t="str">
        <f>"CHML"</f>
        <v>CHML</v>
      </c>
      <c r="B3177" t="s">
        <v>4</v>
      </c>
    </row>
    <row r="3178" spans="1:2" x14ac:dyDescent="0.2">
      <c r="A3178" t="str">
        <f>"CHMP1A"</f>
        <v>CHMP1A</v>
      </c>
      <c r="B3178" t="s">
        <v>6</v>
      </c>
    </row>
    <row r="3179" spans="1:2" x14ac:dyDescent="0.2">
      <c r="A3179" t="str">
        <f>"CHMP1B"</f>
        <v>CHMP1B</v>
      </c>
      <c r="B3179" t="s">
        <v>6</v>
      </c>
    </row>
    <row r="3180" spans="1:2" x14ac:dyDescent="0.2">
      <c r="A3180" t="str">
        <f>"CHMP2A"</f>
        <v>CHMP2A</v>
      </c>
      <c r="B3180" t="s">
        <v>2</v>
      </c>
    </row>
    <row r="3181" spans="1:2" x14ac:dyDescent="0.2">
      <c r="A3181" t="str">
        <f>"CHMP2B"</f>
        <v>CHMP2B</v>
      </c>
      <c r="B3181" t="s">
        <v>6</v>
      </c>
    </row>
    <row r="3182" spans="1:2" x14ac:dyDescent="0.2">
      <c r="A3182" t="str">
        <f>"CHMP3"</f>
        <v>CHMP3</v>
      </c>
      <c r="B3182" t="s">
        <v>2</v>
      </c>
    </row>
    <row r="3183" spans="1:2" x14ac:dyDescent="0.2">
      <c r="A3183" t="str">
        <f>"CHMP4A"</f>
        <v>CHMP4A</v>
      </c>
      <c r="B3183" t="s">
        <v>2</v>
      </c>
    </row>
    <row r="3184" spans="1:2" x14ac:dyDescent="0.2">
      <c r="A3184" t="str">
        <f>"CHMP4B"</f>
        <v>CHMP4B</v>
      </c>
      <c r="B3184" t="s">
        <v>2</v>
      </c>
    </row>
    <row r="3185" spans="1:2" x14ac:dyDescent="0.2">
      <c r="A3185" t="str">
        <f>"CHMP4C"</f>
        <v>CHMP4C</v>
      </c>
      <c r="B3185" t="s">
        <v>4</v>
      </c>
    </row>
    <row r="3186" spans="1:2" x14ac:dyDescent="0.2">
      <c r="A3186" t="str">
        <f>"CHMP5"</f>
        <v>CHMP5</v>
      </c>
      <c r="B3186" t="s">
        <v>2</v>
      </c>
    </row>
    <row r="3187" spans="1:2" x14ac:dyDescent="0.2">
      <c r="A3187" t="str">
        <f>"CHMP6"</f>
        <v>CHMP6</v>
      </c>
      <c r="B3187" t="s">
        <v>2</v>
      </c>
    </row>
    <row r="3188" spans="1:2" x14ac:dyDescent="0.2">
      <c r="A3188" t="str">
        <f>"CHMP7"</f>
        <v>CHMP7</v>
      </c>
      <c r="B3188" t="s">
        <v>4</v>
      </c>
    </row>
    <row r="3189" spans="1:2" x14ac:dyDescent="0.2">
      <c r="A3189" t="str">
        <f>"CHN1"</f>
        <v>CHN1</v>
      </c>
      <c r="B3189" t="s">
        <v>3</v>
      </c>
    </row>
    <row r="3190" spans="1:2" x14ac:dyDescent="0.2">
      <c r="A3190" t="str">
        <f>"CHN2"</f>
        <v>CHN2</v>
      </c>
      <c r="B3190" t="s">
        <v>2</v>
      </c>
    </row>
    <row r="3191" spans="1:2" x14ac:dyDescent="0.2">
      <c r="A3191" t="str">
        <f>"CHODL"</f>
        <v>CHODL</v>
      </c>
      <c r="B3191" t="s">
        <v>5</v>
      </c>
    </row>
    <row r="3192" spans="1:2" x14ac:dyDescent="0.2">
      <c r="A3192" t="str">
        <f>"CHORDC1"</f>
        <v>CHORDC1</v>
      </c>
      <c r="B3192" t="s">
        <v>2</v>
      </c>
    </row>
    <row r="3193" spans="1:2" x14ac:dyDescent="0.2">
      <c r="A3193" t="str">
        <f>"CHP1"</f>
        <v>CHP1</v>
      </c>
      <c r="B3193" t="s">
        <v>2</v>
      </c>
    </row>
    <row r="3194" spans="1:2" x14ac:dyDescent="0.2">
      <c r="A3194" t="str">
        <f>"CHP2"</f>
        <v>CHP2</v>
      </c>
      <c r="B3194" t="s">
        <v>3</v>
      </c>
    </row>
    <row r="3195" spans="1:2" x14ac:dyDescent="0.2">
      <c r="A3195" t="str">
        <f>"CHPF"</f>
        <v>CHPF</v>
      </c>
      <c r="B3195" t="s">
        <v>3</v>
      </c>
    </row>
    <row r="3196" spans="1:2" x14ac:dyDescent="0.2">
      <c r="A3196" t="str">
        <f>"CHPF2"</f>
        <v>CHPF2</v>
      </c>
      <c r="B3196" t="s">
        <v>6</v>
      </c>
    </row>
    <row r="3197" spans="1:2" x14ac:dyDescent="0.2">
      <c r="A3197" t="str">
        <f>"CHPT1"</f>
        <v>CHPT1</v>
      </c>
      <c r="B3197" t="s">
        <v>6</v>
      </c>
    </row>
    <row r="3198" spans="1:2" x14ac:dyDescent="0.2">
      <c r="A3198" t="str">
        <f>"CHRAC1"</f>
        <v>CHRAC1</v>
      </c>
      <c r="B3198" t="s">
        <v>8</v>
      </c>
    </row>
    <row r="3199" spans="1:2" x14ac:dyDescent="0.2">
      <c r="A3199" t="str">
        <f>"CHRD"</f>
        <v>CHRD</v>
      </c>
      <c r="B3199" t="s">
        <v>6</v>
      </c>
    </row>
    <row r="3200" spans="1:2" x14ac:dyDescent="0.2">
      <c r="A3200" t="str">
        <f>"CHRDL1"</f>
        <v>CHRDL1</v>
      </c>
      <c r="B3200" t="s">
        <v>4</v>
      </c>
    </row>
    <row r="3201" spans="1:2" x14ac:dyDescent="0.2">
      <c r="A3201" t="str">
        <f>"CHRDL2"</f>
        <v>CHRDL2</v>
      </c>
      <c r="B3201" t="s">
        <v>6</v>
      </c>
    </row>
    <row r="3202" spans="1:2" x14ac:dyDescent="0.2">
      <c r="A3202" t="str">
        <f>"CHRM1"</f>
        <v>CHRM1</v>
      </c>
      <c r="B3202" t="s">
        <v>7</v>
      </c>
    </row>
    <row r="3203" spans="1:2" x14ac:dyDescent="0.2">
      <c r="A3203" t="str">
        <f>"CHRM2"</f>
        <v>CHRM2</v>
      </c>
      <c r="B3203" t="s">
        <v>7</v>
      </c>
    </row>
    <row r="3204" spans="1:2" x14ac:dyDescent="0.2">
      <c r="A3204" t="str">
        <f>"CHRM4"</f>
        <v>CHRM4</v>
      </c>
      <c r="B3204" t="s">
        <v>7</v>
      </c>
    </row>
    <row r="3205" spans="1:2" x14ac:dyDescent="0.2">
      <c r="A3205" t="str">
        <f>"CHRM5"</f>
        <v>CHRM5</v>
      </c>
      <c r="B3205" t="s">
        <v>7</v>
      </c>
    </row>
    <row r="3206" spans="1:2" x14ac:dyDescent="0.2">
      <c r="A3206" t="str">
        <f>"CHRNA1"</f>
        <v>CHRNA1</v>
      </c>
      <c r="B3206" t="s">
        <v>7</v>
      </c>
    </row>
    <row r="3207" spans="1:2" x14ac:dyDescent="0.2">
      <c r="A3207" t="str">
        <f>"CHRNA10"</f>
        <v>CHRNA10</v>
      </c>
      <c r="B3207" t="s">
        <v>7</v>
      </c>
    </row>
    <row r="3208" spans="1:2" x14ac:dyDescent="0.2">
      <c r="A3208" t="str">
        <f>"CHRNA2"</f>
        <v>CHRNA2</v>
      </c>
      <c r="B3208" t="s">
        <v>7</v>
      </c>
    </row>
    <row r="3209" spans="1:2" x14ac:dyDescent="0.2">
      <c r="A3209" t="str">
        <f>"CHRNA3"</f>
        <v>CHRNA3</v>
      </c>
      <c r="B3209" t="s">
        <v>7</v>
      </c>
    </row>
    <row r="3210" spans="1:2" x14ac:dyDescent="0.2">
      <c r="A3210" t="str">
        <f>"CHRNA4"</f>
        <v>CHRNA4</v>
      </c>
      <c r="B3210" t="s">
        <v>7</v>
      </c>
    </row>
    <row r="3211" spans="1:2" x14ac:dyDescent="0.2">
      <c r="A3211" t="str">
        <f>"CHRNA5"</f>
        <v>CHRNA5</v>
      </c>
      <c r="B3211" t="s">
        <v>7</v>
      </c>
    </row>
    <row r="3212" spans="1:2" x14ac:dyDescent="0.2">
      <c r="A3212" t="str">
        <f>"CHRNA6"</f>
        <v>CHRNA6</v>
      </c>
      <c r="B3212" t="s">
        <v>7</v>
      </c>
    </row>
    <row r="3213" spans="1:2" x14ac:dyDescent="0.2">
      <c r="A3213" t="str">
        <f>"CHRNA7"</f>
        <v>CHRNA7</v>
      </c>
      <c r="B3213" t="s">
        <v>7</v>
      </c>
    </row>
    <row r="3214" spans="1:2" x14ac:dyDescent="0.2">
      <c r="A3214" t="str">
        <f>"CHRNA9"</f>
        <v>CHRNA9</v>
      </c>
      <c r="B3214" t="s">
        <v>7</v>
      </c>
    </row>
    <row r="3215" spans="1:2" x14ac:dyDescent="0.2">
      <c r="A3215" t="str">
        <f>"CHRNB1"</f>
        <v>CHRNB1</v>
      </c>
      <c r="B3215" t="s">
        <v>7</v>
      </c>
    </row>
    <row r="3216" spans="1:2" x14ac:dyDescent="0.2">
      <c r="A3216" t="str">
        <f>"CHRNB2"</f>
        <v>CHRNB2</v>
      </c>
      <c r="B3216" t="s">
        <v>7</v>
      </c>
    </row>
    <row r="3217" spans="1:2" x14ac:dyDescent="0.2">
      <c r="A3217" t="str">
        <f>"CHRNB3"</f>
        <v>CHRNB3</v>
      </c>
      <c r="B3217" t="s">
        <v>7</v>
      </c>
    </row>
    <row r="3218" spans="1:2" x14ac:dyDescent="0.2">
      <c r="A3218" t="str">
        <f>"CHRNB4"</f>
        <v>CHRNB4</v>
      </c>
      <c r="B3218" t="s">
        <v>7</v>
      </c>
    </row>
    <row r="3219" spans="1:2" x14ac:dyDescent="0.2">
      <c r="A3219" t="str">
        <f>"CHRND"</f>
        <v>CHRND</v>
      </c>
      <c r="B3219" t="s">
        <v>7</v>
      </c>
    </row>
    <row r="3220" spans="1:2" x14ac:dyDescent="0.2">
      <c r="A3220" t="str">
        <f>"CHRNE"</f>
        <v>CHRNE</v>
      </c>
      <c r="B3220" t="s">
        <v>7</v>
      </c>
    </row>
    <row r="3221" spans="1:2" x14ac:dyDescent="0.2">
      <c r="A3221" t="str">
        <f>"CHRNG"</f>
        <v>CHRNG</v>
      </c>
      <c r="B3221" t="s">
        <v>7</v>
      </c>
    </row>
    <row r="3222" spans="1:2" x14ac:dyDescent="0.2">
      <c r="A3222" t="str">
        <f>"CHST1"</f>
        <v>CHST1</v>
      </c>
      <c r="B3222" t="s">
        <v>3</v>
      </c>
    </row>
    <row r="3223" spans="1:2" x14ac:dyDescent="0.2">
      <c r="A3223" t="str">
        <f>"CHST10"</f>
        <v>CHST10</v>
      </c>
      <c r="B3223" t="s">
        <v>4</v>
      </c>
    </row>
    <row r="3224" spans="1:2" x14ac:dyDescent="0.2">
      <c r="A3224" t="str">
        <f>"CHST11"</f>
        <v>CHST11</v>
      </c>
      <c r="B3224" t="s">
        <v>5</v>
      </c>
    </row>
    <row r="3225" spans="1:2" x14ac:dyDescent="0.2">
      <c r="A3225" t="str">
        <f>"CHST12"</f>
        <v>CHST12</v>
      </c>
      <c r="B3225" t="s">
        <v>3</v>
      </c>
    </row>
    <row r="3226" spans="1:2" x14ac:dyDescent="0.2">
      <c r="A3226" t="str">
        <f>"CHST13"</f>
        <v>CHST13</v>
      </c>
      <c r="B3226" t="s">
        <v>3</v>
      </c>
    </row>
    <row r="3227" spans="1:2" x14ac:dyDescent="0.2">
      <c r="A3227" t="str">
        <f>"CHST14"</f>
        <v>CHST14</v>
      </c>
      <c r="B3227" t="s">
        <v>3</v>
      </c>
    </row>
    <row r="3228" spans="1:2" x14ac:dyDescent="0.2">
      <c r="A3228" t="str">
        <f>"CHST15"</f>
        <v>CHST15</v>
      </c>
      <c r="B3228" t="s">
        <v>5</v>
      </c>
    </row>
    <row r="3229" spans="1:2" x14ac:dyDescent="0.2">
      <c r="A3229" t="str">
        <f>"CHST2"</f>
        <v>CHST2</v>
      </c>
      <c r="B3229" t="s">
        <v>5</v>
      </c>
    </row>
    <row r="3230" spans="1:2" x14ac:dyDescent="0.2">
      <c r="A3230" t="str">
        <f>"CHST3"</f>
        <v>CHST3</v>
      </c>
      <c r="B3230" t="s">
        <v>5</v>
      </c>
    </row>
    <row r="3231" spans="1:2" x14ac:dyDescent="0.2">
      <c r="A3231" t="str">
        <f>"CHST4"</f>
        <v>CHST4</v>
      </c>
      <c r="B3231" t="s">
        <v>3</v>
      </c>
    </row>
    <row r="3232" spans="1:2" x14ac:dyDescent="0.2">
      <c r="A3232" t="str">
        <f>"CHST5"</f>
        <v>CHST5</v>
      </c>
      <c r="B3232" t="s">
        <v>4</v>
      </c>
    </row>
    <row r="3233" spans="1:2" x14ac:dyDescent="0.2">
      <c r="A3233" t="str">
        <f>"CHST6"</f>
        <v>CHST6</v>
      </c>
      <c r="B3233" t="s">
        <v>3</v>
      </c>
    </row>
    <row r="3234" spans="1:2" x14ac:dyDescent="0.2">
      <c r="A3234" t="str">
        <f>"CHST7"</f>
        <v>CHST7</v>
      </c>
      <c r="B3234" t="s">
        <v>3</v>
      </c>
    </row>
    <row r="3235" spans="1:2" x14ac:dyDescent="0.2">
      <c r="A3235" t="str">
        <f>"CHST8"</f>
        <v>CHST8</v>
      </c>
      <c r="B3235" t="s">
        <v>4</v>
      </c>
    </row>
    <row r="3236" spans="1:2" x14ac:dyDescent="0.2">
      <c r="A3236" t="str">
        <f>"CHST9"</f>
        <v>CHST9</v>
      </c>
      <c r="B3236" t="s">
        <v>5</v>
      </c>
    </row>
    <row r="3237" spans="1:2" x14ac:dyDescent="0.2">
      <c r="A3237" t="str">
        <f>"CHSY1"</f>
        <v>CHSY1</v>
      </c>
      <c r="B3237" t="s">
        <v>4</v>
      </c>
    </row>
    <row r="3238" spans="1:2" x14ac:dyDescent="0.2">
      <c r="A3238" t="str">
        <f>"CHSY3"</f>
        <v>CHSY3</v>
      </c>
      <c r="B3238" t="s">
        <v>3</v>
      </c>
    </row>
    <row r="3239" spans="1:2" x14ac:dyDescent="0.2">
      <c r="A3239" t="str">
        <f>"CHTF18"</f>
        <v>CHTF18</v>
      </c>
      <c r="B3239" t="s">
        <v>6</v>
      </c>
    </row>
    <row r="3240" spans="1:2" x14ac:dyDescent="0.2">
      <c r="A3240" t="str">
        <f>"CHTF8"</f>
        <v>CHTF8</v>
      </c>
      <c r="B3240" t="s">
        <v>4</v>
      </c>
    </row>
    <row r="3241" spans="1:2" x14ac:dyDescent="0.2">
      <c r="A3241" t="str">
        <f>"CHTOP"</f>
        <v>CHTOP</v>
      </c>
      <c r="B3241" t="s">
        <v>4</v>
      </c>
    </row>
    <row r="3242" spans="1:2" x14ac:dyDescent="0.2">
      <c r="A3242" t="str">
        <f>"CHUK"</f>
        <v>CHUK</v>
      </c>
      <c r="B3242" t="s">
        <v>7</v>
      </c>
    </row>
    <row r="3243" spans="1:2" x14ac:dyDescent="0.2">
      <c r="A3243" t="str">
        <f>"CHURC1"</f>
        <v>CHURC1</v>
      </c>
      <c r="B3243" t="s">
        <v>8</v>
      </c>
    </row>
    <row r="3244" spans="1:2" x14ac:dyDescent="0.2">
      <c r="A3244" t="str">
        <f>"CHURC1-FNTB"</f>
        <v>CHURC1-FNTB</v>
      </c>
      <c r="B3244" t="s">
        <v>4</v>
      </c>
    </row>
    <row r="3245" spans="1:2" x14ac:dyDescent="0.2">
      <c r="A3245" t="str">
        <f>"CIAO1"</f>
        <v>CIAO1</v>
      </c>
      <c r="B3245" t="s">
        <v>8</v>
      </c>
    </row>
    <row r="3246" spans="1:2" x14ac:dyDescent="0.2">
      <c r="A3246" t="str">
        <f>"CIAPIN1"</f>
        <v>CIAPIN1</v>
      </c>
      <c r="B3246" t="s">
        <v>4</v>
      </c>
    </row>
    <row r="3247" spans="1:2" x14ac:dyDescent="0.2">
      <c r="A3247" t="str">
        <f>"CIB1"</f>
        <v>CIB1</v>
      </c>
      <c r="B3247" t="s">
        <v>3</v>
      </c>
    </row>
    <row r="3248" spans="1:2" x14ac:dyDescent="0.2">
      <c r="A3248" t="str">
        <f>"CIB2"</f>
        <v>CIB2</v>
      </c>
      <c r="B3248" t="s">
        <v>7</v>
      </c>
    </row>
    <row r="3249" spans="1:2" x14ac:dyDescent="0.2">
      <c r="A3249" t="str">
        <f>"CIB3"</f>
        <v>CIB3</v>
      </c>
      <c r="B3249" t="s">
        <v>7</v>
      </c>
    </row>
    <row r="3250" spans="1:2" x14ac:dyDescent="0.2">
      <c r="A3250" t="str">
        <f>"CIB4"</f>
        <v>CIB4</v>
      </c>
      <c r="B3250" t="s">
        <v>4</v>
      </c>
    </row>
    <row r="3251" spans="1:2" x14ac:dyDescent="0.2">
      <c r="A3251" t="str">
        <f>"CIC"</f>
        <v>CIC</v>
      </c>
      <c r="B3251" t="s">
        <v>3</v>
      </c>
    </row>
    <row r="3252" spans="1:2" x14ac:dyDescent="0.2">
      <c r="A3252" t="str">
        <f>"CIDEA"</f>
        <v>CIDEA</v>
      </c>
      <c r="B3252" t="s">
        <v>3</v>
      </c>
    </row>
    <row r="3253" spans="1:2" x14ac:dyDescent="0.2">
      <c r="A3253" t="str">
        <f>"CIDEB"</f>
        <v>CIDEB</v>
      </c>
      <c r="B3253" t="s">
        <v>3</v>
      </c>
    </row>
    <row r="3254" spans="1:2" x14ac:dyDescent="0.2">
      <c r="A3254" t="str">
        <f>"CIDEC"</f>
        <v>CIDEC</v>
      </c>
      <c r="B3254" t="s">
        <v>3</v>
      </c>
    </row>
    <row r="3255" spans="1:2" x14ac:dyDescent="0.2">
      <c r="A3255" t="str">
        <f>"CIITA"</f>
        <v>CIITA</v>
      </c>
      <c r="B3255" t="s">
        <v>3</v>
      </c>
    </row>
    <row r="3256" spans="1:2" x14ac:dyDescent="0.2">
      <c r="A3256" t="str">
        <f>"CILP"</f>
        <v>CILP</v>
      </c>
      <c r="B3256" t="s">
        <v>4</v>
      </c>
    </row>
    <row r="3257" spans="1:2" x14ac:dyDescent="0.2">
      <c r="A3257" t="str">
        <f>"CILP2"</f>
        <v>CILP2</v>
      </c>
      <c r="B3257" t="s">
        <v>3</v>
      </c>
    </row>
    <row r="3258" spans="1:2" x14ac:dyDescent="0.2">
      <c r="A3258" t="str">
        <f>"CINP"</f>
        <v>CINP</v>
      </c>
      <c r="B3258" t="s">
        <v>7</v>
      </c>
    </row>
    <row r="3259" spans="1:2" x14ac:dyDescent="0.2">
      <c r="A3259" t="str">
        <f>"CIR1"</f>
        <v>CIR1</v>
      </c>
      <c r="B3259" t="s">
        <v>8</v>
      </c>
    </row>
    <row r="3260" spans="1:2" x14ac:dyDescent="0.2">
      <c r="A3260" t="str">
        <f>"CIRBP"</f>
        <v>CIRBP</v>
      </c>
      <c r="B3260" t="s">
        <v>8</v>
      </c>
    </row>
    <row r="3261" spans="1:2" x14ac:dyDescent="0.2">
      <c r="A3261" t="str">
        <f>"CIRH1A"</f>
        <v>CIRH1A</v>
      </c>
      <c r="B3261" t="s">
        <v>8</v>
      </c>
    </row>
    <row r="3262" spans="1:2" x14ac:dyDescent="0.2">
      <c r="A3262" t="str">
        <f>"CISD1"</f>
        <v>CISD1</v>
      </c>
      <c r="B3262" t="s">
        <v>6</v>
      </c>
    </row>
    <row r="3263" spans="1:2" x14ac:dyDescent="0.2">
      <c r="A3263" t="str">
        <f>"CISD2"</f>
        <v>CISD2</v>
      </c>
      <c r="B3263" t="s">
        <v>6</v>
      </c>
    </row>
    <row r="3264" spans="1:2" x14ac:dyDescent="0.2">
      <c r="A3264" t="str">
        <f>"CISD3"</f>
        <v>CISD3</v>
      </c>
      <c r="B3264" t="s">
        <v>6</v>
      </c>
    </row>
    <row r="3265" spans="1:2" x14ac:dyDescent="0.2">
      <c r="A3265" t="str">
        <f>"CISH"</f>
        <v>CISH</v>
      </c>
      <c r="B3265" t="s">
        <v>2</v>
      </c>
    </row>
    <row r="3266" spans="1:2" x14ac:dyDescent="0.2">
      <c r="A3266" t="str">
        <f>"CIT"</f>
        <v>CIT</v>
      </c>
      <c r="B3266" t="s">
        <v>7</v>
      </c>
    </row>
    <row r="3267" spans="1:2" x14ac:dyDescent="0.2">
      <c r="A3267" t="str">
        <f>"CITED1"</f>
        <v>CITED1</v>
      </c>
      <c r="B3267" t="s">
        <v>8</v>
      </c>
    </row>
    <row r="3268" spans="1:2" x14ac:dyDescent="0.2">
      <c r="A3268" t="str">
        <f>"CITED2"</f>
        <v>CITED2</v>
      </c>
      <c r="B3268" t="s">
        <v>3</v>
      </c>
    </row>
    <row r="3269" spans="1:2" x14ac:dyDescent="0.2">
      <c r="A3269" t="str">
        <f>"CITED4"</f>
        <v>CITED4</v>
      </c>
      <c r="B3269" t="s">
        <v>8</v>
      </c>
    </row>
    <row r="3270" spans="1:2" x14ac:dyDescent="0.2">
      <c r="A3270" t="str">
        <f>"CIZ1"</f>
        <v>CIZ1</v>
      </c>
      <c r="B3270" t="s">
        <v>8</v>
      </c>
    </row>
    <row r="3271" spans="1:2" x14ac:dyDescent="0.2">
      <c r="A3271" t="str">
        <f>"CKAP2"</f>
        <v>CKAP2</v>
      </c>
      <c r="B3271" t="s">
        <v>3</v>
      </c>
    </row>
    <row r="3272" spans="1:2" x14ac:dyDescent="0.2">
      <c r="A3272" t="str">
        <f>"CKAP2L"</f>
        <v>CKAP2L</v>
      </c>
      <c r="B3272" t="s">
        <v>4</v>
      </c>
    </row>
    <row r="3273" spans="1:2" x14ac:dyDescent="0.2">
      <c r="A3273" t="str">
        <f>"CKAP4"</f>
        <v>CKAP4</v>
      </c>
      <c r="B3273" t="s">
        <v>2</v>
      </c>
    </row>
    <row r="3274" spans="1:2" x14ac:dyDescent="0.2">
      <c r="A3274" t="str">
        <f>"CKAP5"</f>
        <v>CKAP5</v>
      </c>
      <c r="B3274" t="s">
        <v>3</v>
      </c>
    </row>
    <row r="3275" spans="1:2" x14ac:dyDescent="0.2">
      <c r="A3275" t="str">
        <f>"CKB"</f>
        <v>CKB</v>
      </c>
      <c r="B3275" t="s">
        <v>7</v>
      </c>
    </row>
    <row r="3276" spans="1:2" x14ac:dyDescent="0.2">
      <c r="A3276" t="str">
        <f>"CKLF"</f>
        <v>CKLF</v>
      </c>
      <c r="B3276" t="s">
        <v>5</v>
      </c>
    </row>
    <row r="3277" spans="1:2" x14ac:dyDescent="0.2">
      <c r="A3277" t="str">
        <f>"CKLF-CMTM1"</f>
        <v>CKLF-CMTM1</v>
      </c>
      <c r="B3277" t="s">
        <v>4</v>
      </c>
    </row>
    <row r="3278" spans="1:2" x14ac:dyDescent="0.2">
      <c r="A3278" t="str">
        <f>"CKM"</f>
        <v>CKM</v>
      </c>
      <c r="B3278" t="s">
        <v>7</v>
      </c>
    </row>
    <row r="3279" spans="1:2" x14ac:dyDescent="0.2">
      <c r="A3279" t="str">
        <f>"CKMT1A"</f>
        <v>CKMT1A</v>
      </c>
      <c r="B3279" t="s">
        <v>7</v>
      </c>
    </row>
    <row r="3280" spans="1:2" x14ac:dyDescent="0.2">
      <c r="A3280" t="str">
        <f>"CKMT1B"</f>
        <v>CKMT1B</v>
      </c>
      <c r="B3280" t="s">
        <v>7</v>
      </c>
    </row>
    <row r="3281" spans="1:2" x14ac:dyDescent="0.2">
      <c r="A3281" t="str">
        <f>"CKMT2"</f>
        <v>CKMT2</v>
      </c>
      <c r="B3281" t="s">
        <v>7</v>
      </c>
    </row>
    <row r="3282" spans="1:2" x14ac:dyDescent="0.2">
      <c r="A3282" t="str">
        <f>"CKS2"</f>
        <v>CKS2</v>
      </c>
      <c r="B3282" t="s">
        <v>7</v>
      </c>
    </row>
    <row r="3283" spans="1:2" x14ac:dyDescent="0.2">
      <c r="A3283" t="str">
        <f>"CLASP1"</f>
        <v>CLASP1</v>
      </c>
      <c r="B3283" t="s">
        <v>3</v>
      </c>
    </row>
    <row r="3284" spans="1:2" x14ac:dyDescent="0.2">
      <c r="A3284" t="str">
        <f>"CLASP2"</f>
        <v>CLASP2</v>
      </c>
      <c r="B3284" t="s">
        <v>3</v>
      </c>
    </row>
    <row r="3285" spans="1:2" x14ac:dyDescent="0.2">
      <c r="A3285" t="str">
        <f>"CLASRP"</f>
        <v>CLASRP</v>
      </c>
      <c r="B3285" t="s">
        <v>3</v>
      </c>
    </row>
    <row r="3286" spans="1:2" x14ac:dyDescent="0.2">
      <c r="A3286" t="str">
        <f>"CLC"</f>
        <v>CLC</v>
      </c>
      <c r="B3286" t="s">
        <v>7</v>
      </c>
    </row>
    <row r="3287" spans="1:2" x14ac:dyDescent="0.2">
      <c r="A3287" t="str">
        <f>"CLCA1"</f>
        <v>CLCA1</v>
      </c>
      <c r="B3287" t="s">
        <v>6</v>
      </c>
    </row>
    <row r="3288" spans="1:2" x14ac:dyDescent="0.2">
      <c r="A3288" t="str">
        <f>"CLCA2"</f>
        <v>CLCA2</v>
      </c>
      <c r="B3288" t="s">
        <v>5</v>
      </c>
    </row>
    <row r="3289" spans="1:2" x14ac:dyDescent="0.2">
      <c r="A3289" t="str">
        <f>"CLCA4"</f>
        <v>CLCA4</v>
      </c>
      <c r="B3289" t="s">
        <v>5</v>
      </c>
    </row>
    <row r="3290" spans="1:2" x14ac:dyDescent="0.2">
      <c r="A3290" t="str">
        <f>"CLCC1"</f>
        <v>CLCC1</v>
      </c>
      <c r="B3290" t="s">
        <v>2</v>
      </c>
    </row>
    <row r="3291" spans="1:2" x14ac:dyDescent="0.2">
      <c r="A3291" t="str">
        <f>"CLCF1"</f>
        <v>CLCF1</v>
      </c>
      <c r="B3291" t="s">
        <v>4</v>
      </c>
    </row>
    <row r="3292" spans="1:2" x14ac:dyDescent="0.2">
      <c r="A3292" t="str">
        <f>"CLCN1"</f>
        <v>CLCN1</v>
      </c>
      <c r="B3292" t="s">
        <v>5</v>
      </c>
    </row>
    <row r="3293" spans="1:2" x14ac:dyDescent="0.2">
      <c r="A3293" t="str">
        <f>"CLCN2"</f>
        <v>CLCN2</v>
      </c>
      <c r="B3293" t="s">
        <v>7</v>
      </c>
    </row>
    <row r="3294" spans="1:2" x14ac:dyDescent="0.2">
      <c r="A3294" t="str">
        <f>"CLCN3"</f>
        <v>CLCN3</v>
      </c>
      <c r="B3294" t="s">
        <v>2</v>
      </c>
    </row>
    <row r="3295" spans="1:2" x14ac:dyDescent="0.2">
      <c r="A3295" t="str">
        <f>"CLCN4"</f>
        <v>CLCN4</v>
      </c>
      <c r="B3295" t="s">
        <v>5</v>
      </c>
    </row>
    <row r="3296" spans="1:2" x14ac:dyDescent="0.2">
      <c r="A3296" t="str">
        <f>"CLCN5"</f>
        <v>CLCN5</v>
      </c>
      <c r="B3296" t="s">
        <v>6</v>
      </c>
    </row>
    <row r="3297" spans="1:2" x14ac:dyDescent="0.2">
      <c r="A3297" t="str">
        <f>"CLCN6"</f>
        <v>CLCN6</v>
      </c>
      <c r="B3297" t="s">
        <v>5</v>
      </c>
    </row>
    <row r="3298" spans="1:2" x14ac:dyDescent="0.2">
      <c r="A3298" t="str">
        <f>"CLCN7"</f>
        <v>CLCN7</v>
      </c>
      <c r="B3298" t="s">
        <v>2</v>
      </c>
    </row>
    <row r="3299" spans="1:2" x14ac:dyDescent="0.2">
      <c r="A3299" t="str">
        <f>"CLCNKA"</f>
        <v>CLCNKA</v>
      </c>
      <c r="B3299" t="s">
        <v>7</v>
      </c>
    </row>
    <row r="3300" spans="1:2" x14ac:dyDescent="0.2">
      <c r="A3300" t="str">
        <f>"CLCNKB"</f>
        <v>CLCNKB</v>
      </c>
      <c r="B3300" t="s">
        <v>5</v>
      </c>
    </row>
    <row r="3301" spans="1:2" x14ac:dyDescent="0.2">
      <c r="A3301" t="str">
        <f>"CLDN1"</f>
        <v>CLDN1</v>
      </c>
      <c r="B3301" t="s">
        <v>5</v>
      </c>
    </row>
    <row r="3302" spans="1:2" x14ac:dyDescent="0.2">
      <c r="A3302" t="str">
        <f>"CLDN10"</f>
        <v>CLDN10</v>
      </c>
      <c r="B3302" t="s">
        <v>5</v>
      </c>
    </row>
    <row r="3303" spans="1:2" x14ac:dyDescent="0.2">
      <c r="A3303" t="str">
        <f>"CLDN11"</f>
        <v>CLDN11</v>
      </c>
      <c r="B3303" t="s">
        <v>5</v>
      </c>
    </row>
    <row r="3304" spans="1:2" x14ac:dyDescent="0.2">
      <c r="A3304" t="str">
        <f>"CLDN12"</f>
        <v>CLDN12</v>
      </c>
      <c r="B3304" t="s">
        <v>5</v>
      </c>
    </row>
    <row r="3305" spans="1:2" x14ac:dyDescent="0.2">
      <c r="A3305" t="str">
        <f>"CLDN14"</f>
        <v>CLDN14</v>
      </c>
      <c r="B3305" t="s">
        <v>2</v>
      </c>
    </row>
    <row r="3306" spans="1:2" x14ac:dyDescent="0.2">
      <c r="A3306" t="str">
        <f>"CLDN15"</f>
        <v>CLDN15</v>
      </c>
      <c r="B3306" t="s">
        <v>5</v>
      </c>
    </row>
    <row r="3307" spans="1:2" x14ac:dyDescent="0.2">
      <c r="A3307" t="str">
        <f>"CLDN16"</f>
        <v>CLDN16</v>
      </c>
      <c r="B3307" t="s">
        <v>5</v>
      </c>
    </row>
    <row r="3308" spans="1:2" x14ac:dyDescent="0.2">
      <c r="A3308" t="str">
        <f>"CLDN17"</f>
        <v>CLDN17</v>
      </c>
      <c r="B3308" t="s">
        <v>5</v>
      </c>
    </row>
    <row r="3309" spans="1:2" x14ac:dyDescent="0.2">
      <c r="A3309" t="str">
        <f>"CLDN18"</f>
        <v>CLDN18</v>
      </c>
      <c r="B3309" t="s">
        <v>5</v>
      </c>
    </row>
    <row r="3310" spans="1:2" x14ac:dyDescent="0.2">
      <c r="A3310" t="str">
        <f>"CLDN19"</f>
        <v>CLDN19</v>
      </c>
      <c r="B3310" t="s">
        <v>5</v>
      </c>
    </row>
    <row r="3311" spans="1:2" x14ac:dyDescent="0.2">
      <c r="A3311" t="str">
        <f>"CLDN2"</f>
        <v>CLDN2</v>
      </c>
      <c r="B3311" t="s">
        <v>5</v>
      </c>
    </row>
    <row r="3312" spans="1:2" x14ac:dyDescent="0.2">
      <c r="A3312" t="str">
        <f>"CLDN20"</f>
        <v>CLDN20</v>
      </c>
      <c r="B3312" t="s">
        <v>5</v>
      </c>
    </row>
    <row r="3313" spans="1:2" x14ac:dyDescent="0.2">
      <c r="A3313" t="str">
        <f>"CLDN22"</f>
        <v>CLDN22</v>
      </c>
      <c r="B3313" t="s">
        <v>5</v>
      </c>
    </row>
    <row r="3314" spans="1:2" x14ac:dyDescent="0.2">
      <c r="A3314" t="str">
        <f>"CLDN23"</f>
        <v>CLDN23</v>
      </c>
      <c r="B3314" t="s">
        <v>5</v>
      </c>
    </row>
    <row r="3315" spans="1:2" x14ac:dyDescent="0.2">
      <c r="A3315" t="str">
        <f>"CLDN24"</f>
        <v>CLDN24</v>
      </c>
      <c r="B3315" t="s">
        <v>5</v>
      </c>
    </row>
    <row r="3316" spans="1:2" x14ac:dyDescent="0.2">
      <c r="A3316" t="str">
        <f>"CLDN25"</f>
        <v>CLDN25</v>
      </c>
      <c r="B3316" t="s">
        <v>5</v>
      </c>
    </row>
    <row r="3317" spans="1:2" x14ac:dyDescent="0.2">
      <c r="A3317" t="str">
        <f>"CLDN3"</f>
        <v>CLDN3</v>
      </c>
      <c r="B3317" t="s">
        <v>3</v>
      </c>
    </row>
    <row r="3318" spans="1:2" x14ac:dyDescent="0.2">
      <c r="A3318" t="str">
        <f>"CLDN4"</f>
        <v>CLDN4</v>
      </c>
      <c r="B3318" t="s">
        <v>3</v>
      </c>
    </row>
    <row r="3319" spans="1:2" x14ac:dyDescent="0.2">
      <c r="A3319" t="str">
        <f>"CLDN5"</f>
        <v>CLDN5</v>
      </c>
      <c r="B3319" t="s">
        <v>3</v>
      </c>
    </row>
    <row r="3320" spans="1:2" x14ac:dyDescent="0.2">
      <c r="A3320" t="str">
        <f>"CLDN6"</f>
        <v>CLDN6</v>
      </c>
      <c r="B3320" t="s">
        <v>5</v>
      </c>
    </row>
    <row r="3321" spans="1:2" x14ac:dyDescent="0.2">
      <c r="A3321" t="str">
        <f>"CLDN7"</f>
        <v>CLDN7</v>
      </c>
      <c r="B3321" t="s">
        <v>5</v>
      </c>
    </row>
    <row r="3322" spans="1:2" x14ac:dyDescent="0.2">
      <c r="A3322" t="str">
        <f>"CLDN8"</f>
        <v>CLDN8</v>
      </c>
      <c r="B3322" t="s">
        <v>6</v>
      </c>
    </row>
    <row r="3323" spans="1:2" x14ac:dyDescent="0.2">
      <c r="A3323" t="str">
        <f>"CLDN9"</f>
        <v>CLDN9</v>
      </c>
      <c r="B3323" t="s">
        <v>5</v>
      </c>
    </row>
    <row r="3324" spans="1:2" x14ac:dyDescent="0.2">
      <c r="A3324" t="str">
        <f>"CLDND1"</f>
        <v>CLDND1</v>
      </c>
      <c r="B3324" t="s">
        <v>5</v>
      </c>
    </row>
    <row r="3325" spans="1:2" x14ac:dyDescent="0.2">
      <c r="A3325" t="str">
        <f>"CLDND2"</f>
        <v>CLDND2</v>
      </c>
      <c r="B3325" t="s">
        <v>5</v>
      </c>
    </row>
    <row r="3326" spans="1:2" x14ac:dyDescent="0.2">
      <c r="A3326" t="str">
        <f>"CLEC10A"</f>
        <v>CLEC10A</v>
      </c>
      <c r="B3326" t="s">
        <v>2</v>
      </c>
    </row>
    <row r="3327" spans="1:2" x14ac:dyDescent="0.2">
      <c r="A3327" t="str">
        <f>"CLEC11A"</f>
        <v>CLEC11A</v>
      </c>
      <c r="B3327" t="s">
        <v>4</v>
      </c>
    </row>
    <row r="3328" spans="1:2" x14ac:dyDescent="0.2">
      <c r="A3328" t="str">
        <f>"CLEC12A"</f>
        <v>CLEC12A</v>
      </c>
      <c r="B3328" t="s">
        <v>5</v>
      </c>
    </row>
    <row r="3329" spans="1:2" x14ac:dyDescent="0.2">
      <c r="A3329" t="str">
        <f>"CLEC12B"</f>
        <v>CLEC12B</v>
      </c>
      <c r="B3329" t="s">
        <v>5</v>
      </c>
    </row>
    <row r="3330" spans="1:2" x14ac:dyDescent="0.2">
      <c r="A3330" t="str">
        <f>"CLEC14A"</f>
        <v>CLEC14A</v>
      </c>
      <c r="B3330" t="s">
        <v>5</v>
      </c>
    </row>
    <row r="3331" spans="1:2" x14ac:dyDescent="0.2">
      <c r="A3331" t="str">
        <f>"CLEC16A"</f>
        <v>CLEC16A</v>
      </c>
      <c r="B3331" t="s">
        <v>4</v>
      </c>
    </row>
    <row r="3332" spans="1:2" x14ac:dyDescent="0.2">
      <c r="A3332" t="str">
        <f>"CLEC17A"</f>
        <v>CLEC17A</v>
      </c>
      <c r="B3332" t="s">
        <v>5</v>
      </c>
    </row>
    <row r="3333" spans="1:2" x14ac:dyDescent="0.2">
      <c r="A3333" t="str">
        <f>"CLEC18A"</f>
        <v>CLEC18A</v>
      </c>
      <c r="B3333" t="s">
        <v>4</v>
      </c>
    </row>
    <row r="3334" spans="1:2" x14ac:dyDescent="0.2">
      <c r="A3334" t="str">
        <f>"CLEC18B"</f>
        <v>CLEC18B</v>
      </c>
      <c r="B3334" t="s">
        <v>4</v>
      </c>
    </row>
    <row r="3335" spans="1:2" x14ac:dyDescent="0.2">
      <c r="A3335" t="str">
        <f>"CLEC18C"</f>
        <v>CLEC18C</v>
      </c>
      <c r="B3335" t="s">
        <v>4</v>
      </c>
    </row>
    <row r="3336" spans="1:2" x14ac:dyDescent="0.2">
      <c r="A3336" t="str">
        <f>"CLEC19A"</f>
        <v>CLEC19A</v>
      </c>
      <c r="B3336" t="s">
        <v>4</v>
      </c>
    </row>
    <row r="3337" spans="1:2" x14ac:dyDescent="0.2">
      <c r="A3337" t="str">
        <f>"CLEC1A"</f>
        <v>CLEC1A</v>
      </c>
      <c r="B3337" t="s">
        <v>5</v>
      </c>
    </row>
    <row r="3338" spans="1:2" x14ac:dyDescent="0.2">
      <c r="A3338" t="str">
        <f>"CLEC1B"</f>
        <v>CLEC1B</v>
      </c>
      <c r="B3338" t="s">
        <v>5</v>
      </c>
    </row>
    <row r="3339" spans="1:2" x14ac:dyDescent="0.2">
      <c r="A3339" t="str">
        <f>"CLEC2A"</f>
        <v>CLEC2A</v>
      </c>
      <c r="B3339" t="s">
        <v>4</v>
      </c>
    </row>
    <row r="3340" spans="1:2" x14ac:dyDescent="0.2">
      <c r="A3340" t="str">
        <f>"CLEC2B"</f>
        <v>CLEC2B</v>
      </c>
      <c r="B3340" t="s">
        <v>3</v>
      </c>
    </row>
    <row r="3341" spans="1:2" x14ac:dyDescent="0.2">
      <c r="A3341" t="str">
        <f>"CLEC2D"</f>
        <v>CLEC2D</v>
      </c>
      <c r="B3341" t="s">
        <v>5</v>
      </c>
    </row>
    <row r="3342" spans="1:2" x14ac:dyDescent="0.2">
      <c r="A3342" t="str">
        <f>"CLEC2L"</f>
        <v>CLEC2L</v>
      </c>
      <c r="B3342" t="s">
        <v>6</v>
      </c>
    </row>
    <row r="3343" spans="1:2" x14ac:dyDescent="0.2">
      <c r="A3343" t="str">
        <f>"CLEC3A"</f>
        <v>CLEC3A</v>
      </c>
      <c r="B3343" t="s">
        <v>4</v>
      </c>
    </row>
    <row r="3344" spans="1:2" x14ac:dyDescent="0.2">
      <c r="A3344" t="str">
        <f>"CLEC3B"</f>
        <v>CLEC3B</v>
      </c>
      <c r="B3344" t="s">
        <v>7</v>
      </c>
    </row>
    <row r="3345" spans="1:2" x14ac:dyDescent="0.2">
      <c r="A3345" t="str">
        <f>"CLEC4A"</f>
        <v>CLEC4A</v>
      </c>
      <c r="B3345" t="s">
        <v>5</v>
      </c>
    </row>
    <row r="3346" spans="1:2" x14ac:dyDescent="0.2">
      <c r="A3346" t="str">
        <f>"CLEC4C"</f>
        <v>CLEC4C</v>
      </c>
      <c r="B3346" t="s">
        <v>5</v>
      </c>
    </row>
    <row r="3347" spans="1:2" x14ac:dyDescent="0.2">
      <c r="A3347" t="str">
        <f>"CLEC4D"</f>
        <v>CLEC4D</v>
      </c>
      <c r="B3347" t="s">
        <v>2</v>
      </c>
    </row>
    <row r="3348" spans="1:2" x14ac:dyDescent="0.2">
      <c r="A3348" t="str">
        <f>"CLEC4E"</f>
        <v>CLEC4E</v>
      </c>
      <c r="B3348" t="s">
        <v>5</v>
      </c>
    </row>
    <row r="3349" spans="1:2" x14ac:dyDescent="0.2">
      <c r="A3349" t="str">
        <f>"CLEC4F"</f>
        <v>CLEC4F</v>
      </c>
      <c r="B3349" t="s">
        <v>2</v>
      </c>
    </row>
    <row r="3350" spans="1:2" x14ac:dyDescent="0.2">
      <c r="A3350" t="str">
        <f>"CLEC4G"</f>
        <v>CLEC4G</v>
      </c>
      <c r="B3350" t="s">
        <v>5</v>
      </c>
    </row>
    <row r="3351" spans="1:2" x14ac:dyDescent="0.2">
      <c r="A3351" t="str">
        <f>"CLEC4M"</f>
        <v>CLEC4M</v>
      </c>
      <c r="B3351" t="s">
        <v>2</v>
      </c>
    </row>
    <row r="3352" spans="1:2" x14ac:dyDescent="0.2">
      <c r="A3352" t="str">
        <f>"CLEC5A"</f>
        <v>CLEC5A</v>
      </c>
      <c r="B3352" t="s">
        <v>5</v>
      </c>
    </row>
    <row r="3353" spans="1:2" x14ac:dyDescent="0.2">
      <c r="A3353" t="str">
        <f>"CLEC6A"</f>
        <v>CLEC6A</v>
      </c>
      <c r="B3353" t="s">
        <v>5</v>
      </c>
    </row>
    <row r="3354" spans="1:2" x14ac:dyDescent="0.2">
      <c r="A3354" t="str">
        <f>"CLEC7A"</f>
        <v>CLEC7A</v>
      </c>
      <c r="B3354" t="s">
        <v>5</v>
      </c>
    </row>
    <row r="3355" spans="1:2" x14ac:dyDescent="0.2">
      <c r="A3355" t="str">
        <f>"CLEC9A"</f>
        <v>CLEC9A</v>
      </c>
      <c r="B3355" t="s">
        <v>5</v>
      </c>
    </row>
    <row r="3356" spans="1:2" x14ac:dyDescent="0.2">
      <c r="A3356" t="str">
        <f>"CLECL1"</f>
        <v>CLECL1</v>
      </c>
      <c r="B3356" t="s">
        <v>5</v>
      </c>
    </row>
    <row r="3357" spans="1:2" x14ac:dyDescent="0.2">
      <c r="A3357" t="str">
        <f>"CLGN"</f>
        <v>CLGN</v>
      </c>
      <c r="B3357" t="s">
        <v>3</v>
      </c>
    </row>
    <row r="3358" spans="1:2" x14ac:dyDescent="0.2">
      <c r="A3358" t="str">
        <f>"CLHC1"</f>
        <v>CLHC1</v>
      </c>
      <c r="B3358" t="s">
        <v>4</v>
      </c>
    </row>
    <row r="3359" spans="1:2" x14ac:dyDescent="0.2">
      <c r="A3359" t="str">
        <f>"CLIC1"</f>
        <v>CLIC1</v>
      </c>
      <c r="B3359" t="s">
        <v>6</v>
      </c>
    </row>
    <row r="3360" spans="1:2" x14ac:dyDescent="0.2">
      <c r="A3360" t="str">
        <f>"CLIC2"</f>
        <v>CLIC2</v>
      </c>
      <c r="B3360" t="s">
        <v>3</v>
      </c>
    </row>
    <row r="3361" spans="1:2" x14ac:dyDescent="0.2">
      <c r="A3361" t="str">
        <f>"CLIC3"</f>
        <v>CLIC3</v>
      </c>
      <c r="B3361" t="s">
        <v>4</v>
      </c>
    </row>
    <row r="3362" spans="1:2" x14ac:dyDescent="0.2">
      <c r="A3362" t="str">
        <f>"CLIC4"</f>
        <v>CLIC4</v>
      </c>
      <c r="B3362" t="s">
        <v>2</v>
      </c>
    </row>
    <row r="3363" spans="1:2" x14ac:dyDescent="0.2">
      <c r="A3363" t="str">
        <f>"CLIC5"</f>
        <v>CLIC5</v>
      </c>
      <c r="B3363" t="s">
        <v>3</v>
      </c>
    </row>
    <row r="3364" spans="1:2" x14ac:dyDescent="0.2">
      <c r="A3364" t="str">
        <f>"CLIC6"</f>
        <v>CLIC6</v>
      </c>
      <c r="B3364" t="s">
        <v>3</v>
      </c>
    </row>
    <row r="3365" spans="1:2" x14ac:dyDescent="0.2">
      <c r="A3365" t="str">
        <f>"CLINT1"</f>
        <v>CLINT1</v>
      </c>
      <c r="B3365" t="s">
        <v>6</v>
      </c>
    </row>
    <row r="3366" spans="1:2" x14ac:dyDescent="0.2">
      <c r="A3366" t="str">
        <f>"CLIP1"</f>
        <v>CLIP1</v>
      </c>
      <c r="B3366" t="s">
        <v>6</v>
      </c>
    </row>
    <row r="3367" spans="1:2" x14ac:dyDescent="0.2">
      <c r="A3367" t="str">
        <f>"CLIP2"</f>
        <v>CLIP2</v>
      </c>
      <c r="B3367" t="s">
        <v>8</v>
      </c>
    </row>
    <row r="3368" spans="1:2" x14ac:dyDescent="0.2">
      <c r="A3368" t="str">
        <f>"CLIP3"</f>
        <v>CLIP3</v>
      </c>
      <c r="B3368" t="s">
        <v>4</v>
      </c>
    </row>
    <row r="3369" spans="1:2" x14ac:dyDescent="0.2">
      <c r="A3369" t="str">
        <f>"CLIP4"</f>
        <v>CLIP4</v>
      </c>
      <c r="B3369" t="s">
        <v>5</v>
      </c>
    </row>
    <row r="3370" spans="1:2" x14ac:dyDescent="0.2">
      <c r="A3370" t="str">
        <f>"CLK1"</f>
        <v>CLK1</v>
      </c>
      <c r="B3370" t="s">
        <v>7</v>
      </c>
    </row>
    <row r="3371" spans="1:2" x14ac:dyDescent="0.2">
      <c r="A3371" t="str">
        <f>"CLK2"</f>
        <v>CLK2</v>
      </c>
      <c r="B3371" t="s">
        <v>7</v>
      </c>
    </row>
    <row r="3372" spans="1:2" x14ac:dyDescent="0.2">
      <c r="A3372" t="str">
        <f>"CLK3"</f>
        <v>CLK3</v>
      </c>
      <c r="B3372" t="s">
        <v>7</v>
      </c>
    </row>
    <row r="3373" spans="1:2" x14ac:dyDescent="0.2">
      <c r="A3373" t="str">
        <f>"CLK4"</f>
        <v>CLK4</v>
      </c>
      <c r="B3373" t="s">
        <v>7</v>
      </c>
    </row>
    <row r="3374" spans="1:2" x14ac:dyDescent="0.2">
      <c r="A3374" t="str">
        <f>"CLLU1"</f>
        <v>CLLU1</v>
      </c>
      <c r="B3374" t="s">
        <v>4</v>
      </c>
    </row>
    <row r="3375" spans="1:2" x14ac:dyDescent="0.2">
      <c r="A3375" t="str">
        <f>"CLLU1OS"</f>
        <v>CLLU1OS</v>
      </c>
      <c r="B3375" t="s">
        <v>4</v>
      </c>
    </row>
    <row r="3376" spans="1:2" x14ac:dyDescent="0.2">
      <c r="A3376" t="str">
        <f>"CLMN"</f>
        <v>CLMN</v>
      </c>
      <c r="B3376" t="s">
        <v>5</v>
      </c>
    </row>
    <row r="3377" spans="1:2" x14ac:dyDescent="0.2">
      <c r="A3377" t="str">
        <f>"CLMP"</f>
        <v>CLMP</v>
      </c>
      <c r="B3377" t="s">
        <v>5</v>
      </c>
    </row>
    <row r="3378" spans="1:2" x14ac:dyDescent="0.2">
      <c r="A3378" t="str">
        <f>"CLN3"</f>
        <v>CLN3</v>
      </c>
      <c r="B3378" t="s">
        <v>2</v>
      </c>
    </row>
    <row r="3379" spans="1:2" x14ac:dyDescent="0.2">
      <c r="A3379" t="str">
        <f>"CLN5"</f>
        <v>CLN5</v>
      </c>
      <c r="B3379" t="s">
        <v>2</v>
      </c>
    </row>
    <row r="3380" spans="1:2" x14ac:dyDescent="0.2">
      <c r="A3380" t="str">
        <f>"CLN6"</f>
        <v>CLN6</v>
      </c>
      <c r="B3380" t="s">
        <v>2</v>
      </c>
    </row>
    <row r="3381" spans="1:2" x14ac:dyDescent="0.2">
      <c r="A3381" t="str">
        <f>"CLN8"</f>
        <v>CLN8</v>
      </c>
      <c r="B3381" t="s">
        <v>2</v>
      </c>
    </row>
    <row r="3382" spans="1:2" x14ac:dyDescent="0.2">
      <c r="A3382" t="str">
        <f>"CLNK"</f>
        <v>CLNK</v>
      </c>
      <c r="B3382" t="s">
        <v>4</v>
      </c>
    </row>
    <row r="3383" spans="1:2" x14ac:dyDescent="0.2">
      <c r="A3383" t="str">
        <f>"CLNS1A"</f>
        <v>CLNS1A</v>
      </c>
      <c r="B3383" t="s">
        <v>6</v>
      </c>
    </row>
    <row r="3384" spans="1:2" x14ac:dyDescent="0.2">
      <c r="A3384" t="str">
        <f>"CLOCK"</f>
        <v>CLOCK</v>
      </c>
      <c r="B3384" t="s">
        <v>8</v>
      </c>
    </row>
    <row r="3385" spans="1:2" x14ac:dyDescent="0.2">
      <c r="A3385" t="str">
        <f>"CLP1"</f>
        <v>CLP1</v>
      </c>
      <c r="B3385" t="s">
        <v>3</v>
      </c>
    </row>
    <row r="3386" spans="1:2" x14ac:dyDescent="0.2">
      <c r="A3386" t="str">
        <f>"CLPB"</f>
        <v>CLPB</v>
      </c>
      <c r="B3386" t="s">
        <v>7</v>
      </c>
    </row>
    <row r="3387" spans="1:2" x14ac:dyDescent="0.2">
      <c r="A3387" t="str">
        <f>"CLPP"</f>
        <v>CLPP</v>
      </c>
      <c r="B3387" t="s">
        <v>7</v>
      </c>
    </row>
    <row r="3388" spans="1:2" x14ac:dyDescent="0.2">
      <c r="A3388" t="str">
        <f>"CLPS"</f>
        <v>CLPS</v>
      </c>
      <c r="B3388" t="s">
        <v>7</v>
      </c>
    </row>
    <row r="3389" spans="1:2" x14ac:dyDescent="0.2">
      <c r="A3389" t="str">
        <f>"CLPSL1"</f>
        <v>CLPSL1</v>
      </c>
      <c r="B3389" t="s">
        <v>4</v>
      </c>
    </row>
    <row r="3390" spans="1:2" x14ac:dyDescent="0.2">
      <c r="A3390" t="str">
        <f>"CLPSL2"</f>
        <v>CLPSL2</v>
      </c>
      <c r="B3390" t="s">
        <v>4</v>
      </c>
    </row>
    <row r="3391" spans="1:2" x14ac:dyDescent="0.2">
      <c r="A3391" t="str">
        <f>"CLPTM1"</f>
        <v>CLPTM1</v>
      </c>
      <c r="B3391" t="s">
        <v>2</v>
      </c>
    </row>
    <row r="3392" spans="1:2" x14ac:dyDescent="0.2">
      <c r="A3392" t="str">
        <f>"CLPTM1L"</f>
        <v>CLPTM1L</v>
      </c>
      <c r="B3392" t="s">
        <v>5</v>
      </c>
    </row>
    <row r="3393" spans="1:2" x14ac:dyDescent="0.2">
      <c r="A3393" t="str">
        <f>"CLPX"</f>
        <v>CLPX</v>
      </c>
      <c r="B3393" t="s">
        <v>7</v>
      </c>
    </row>
    <row r="3394" spans="1:2" x14ac:dyDescent="0.2">
      <c r="A3394" t="str">
        <f>"CLRN1"</f>
        <v>CLRN1</v>
      </c>
      <c r="B3394" t="s">
        <v>5</v>
      </c>
    </row>
    <row r="3395" spans="1:2" x14ac:dyDescent="0.2">
      <c r="A3395" t="str">
        <f>"CLRN2"</f>
        <v>CLRN2</v>
      </c>
      <c r="B3395" t="s">
        <v>5</v>
      </c>
    </row>
    <row r="3396" spans="1:2" x14ac:dyDescent="0.2">
      <c r="A3396" t="str">
        <f>"CLRN3"</f>
        <v>CLRN3</v>
      </c>
      <c r="B3396" t="s">
        <v>5</v>
      </c>
    </row>
    <row r="3397" spans="1:2" x14ac:dyDescent="0.2">
      <c r="A3397" t="str">
        <f>"CLSPN"</f>
        <v>CLSPN</v>
      </c>
      <c r="B3397" t="s">
        <v>3</v>
      </c>
    </row>
    <row r="3398" spans="1:2" x14ac:dyDescent="0.2">
      <c r="A3398" t="str">
        <f>"CLSTN1"</f>
        <v>CLSTN1</v>
      </c>
      <c r="B3398" t="s">
        <v>5</v>
      </c>
    </row>
    <row r="3399" spans="1:2" x14ac:dyDescent="0.2">
      <c r="A3399" t="str">
        <f>"CLSTN2"</f>
        <v>CLSTN2</v>
      </c>
      <c r="B3399" t="s">
        <v>6</v>
      </c>
    </row>
    <row r="3400" spans="1:2" x14ac:dyDescent="0.2">
      <c r="A3400" t="str">
        <f>"CLSTN3"</f>
        <v>CLSTN3</v>
      </c>
      <c r="B3400" t="s">
        <v>5</v>
      </c>
    </row>
    <row r="3401" spans="1:2" x14ac:dyDescent="0.2">
      <c r="A3401" t="str">
        <f>"CLTA"</f>
        <v>CLTA</v>
      </c>
      <c r="B3401" t="s">
        <v>6</v>
      </c>
    </row>
    <row r="3402" spans="1:2" x14ac:dyDescent="0.2">
      <c r="A3402" t="str">
        <f>"CLTB"</f>
        <v>CLTB</v>
      </c>
      <c r="B3402" t="s">
        <v>6</v>
      </c>
    </row>
    <row r="3403" spans="1:2" x14ac:dyDescent="0.2">
      <c r="A3403" t="str">
        <f>"CLTC"</f>
        <v>CLTC</v>
      </c>
      <c r="B3403" t="s">
        <v>6</v>
      </c>
    </row>
    <row r="3404" spans="1:2" x14ac:dyDescent="0.2">
      <c r="A3404" t="str">
        <f>"CLTCL1"</f>
        <v>CLTCL1</v>
      </c>
      <c r="B3404" t="s">
        <v>6</v>
      </c>
    </row>
    <row r="3405" spans="1:2" x14ac:dyDescent="0.2">
      <c r="A3405" t="str">
        <f>"CLU"</f>
        <v>CLU</v>
      </c>
      <c r="B3405" t="s">
        <v>3</v>
      </c>
    </row>
    <row r="3406" spans="1:2" x14ac:dyDescent="0.2">
      <c r="A3406" t="str">
        <f>"CLUAP1"</f>
        <v>CLUAP1</v>
      </c>
      <c r="B3406" t="s">
        <v>2</v>
      </c>
    </row>
    <row r="3407" spans="1:2" x14ac:dyDescent="0.2">
      <c r="A3407" t="str">
        <f>"CLUH"</f>
        <v>CLUH</v>
      </c>
      <c r="B3407" t="s">
        <v>2</v>
      </c>
    </row>
    <row r="3408" spans="1:2" x14ac:dyDescent="0.2">
      <c r="A3408" t="str">
        <f>"CLUL1"</f>
        <v>CLUL1</v>
      </c>
      <c r="B3408" t="s">
        <v>4</v>
      </c>
    </row>
    <row r="3409" spans="1:2" x14ac:dyDescent="0.2">
      <c r="A3409" t="str">
        <f>"CLVS1"</f>
        <v>CLVS1</v>
      </c>
      <c r="B3409" t="s">
        <v>4</v>
      </c>
    </row>
    <row r="3410" spans="1:2" x14ac:dyDescent="0.2">
      <c r="A3410" t="str">
        <f>"CLVS2"</f>
        <v>CLVS2</v>
      </c>
      <c r="B3410" t="s">
        <v>4</v>
      </c>
    </row>
    <row r="3411" spans="1:2" x14ac:dyDescent="0.2">
      <c r="A3411" t="str">
        <f>"CLYBL"</f>
        <v>CLYBL</v>
      </c>
      <c r="B3411" t="s">
        <v>3</v>
      </c>
    </row>
    <row r="3412" spans="1:2" x14ac:dyDescent="0.2">
      <c r="A3412" t="str">
        <f>"CMA1"</f>
        <v>CMA1</v>
      </c>
      <c r="B3412" t="s">
        <v>7</v>
      </c>
    </row>
    <row r="3413" spans="1:2" x14ac:dyDescent="0.2">
      <c r="A3413" t="str">
        <f>"CMAS"</f>
        <v>CMAS</v>
      </c>
      <c r="B3413" t="s">
        <v>7</v>
      </c>
    </row>
    <row r="3414" spans="1:2" x14ac:dyDescent="0.2">
      <c r="A3414" t="str">
        <f>"CMBL"</f>
        <v>CMBL</v>
      </c>
      <c r="B3414" t="s">
        <v>3</v>
      </c>
    </row>
    <row r="3415" spans="1:2" x14ac:dyDescent="0.2">
      <c r="A3415" t="str">
        <f>"CMC1"</f>
        <v>CMC1</v>
      </c>
      <c r="B3415" t="s">
        <v>6</v>
      </c>
    </row>
    <row r="3416" spans="1:2" x14ac:dyDescent="0.2">
      <c r="A3416" t="str">
        <f>"CMC2"</f>
        <v>CMC2</v>
      </c>
      <c r="B3416" t="s">
        <v>6</v>
      </c>
    </row>
    <row r="3417" spans="1:2" x14ac:dyDescent="0.2">
      <c r="A3417" t="str">
        <f>"CMC4"</f>
        <v>CMC4</v>
      </c>
      <c r="B3417" t="s">
        <v>6</v>
      </c>
    </row>
    <row r="3418" spans="1:2" x14ac:dyDescent="0.2">
      <c r="A3418" t="str">
        <f>"CMIP"</f>
        <v>CMIP</v>
      </c>
      <c r="B3418" t="s">
        <v>4</v>
      </c>
    </row>
    <row r="3419" spans="1:2" x14ac:dyDescent="0.2">
      <c r="A3419" t="str">
        <f>"CMKLR1"</f>
        <v>CMKLR1</v>
      </c>
      <c r="B3419" t="s">
        <v>5</v>
      </c>
    </row>
    <row r="3420" spans="1:2" x14ac:dyDescent="0.2">
      <c r="A3420" t="str">
        <f>"CMPK1"</f>
        <v>CMPK1</v>
      </c>
      <c r="B3420" t="s">
        <v>7</v>
      </c>
    </row>
    <row r="3421" spans="1:2" x14ac:dyDescent="0.2">
      <c r="A3421" t="str">
        <f>"CMPK2"</f>
        <v>CMPK2</v>
      </c>
      <c r="B3421" t="s">
        <v>6</v>
      </c>
    </row>
    <row r="3422" spans="1:2" x14ac:dyDescent="0.2">
      <c r="A3422" t="str">
        <f>"CMSS1"</f>
        <v>CMSS1</v>
      </c>
      <c r="B3422" t="s">
        <v>4</v>
      </c>
    </row>
    <row r="3423" spans="1:2" x14ac:dyDescent="0.2">
      <c r="A3423" t="str">
        <f>"CMTM1"</f>
        <v>CMTM1</v>
      </c>
      <c r="B3423" t="s">
        <v>5</v>
      </c>
    </row>
    <row r="3424" spans="1:2" x14ac:dyDescent="0.2">
      <c r="A3424" t="str">
        <f>"CMTM2"</f>
        <v>CMTM2</v>
      </c>
      <c r="B3424" t="s">
        <v>5</v>
      </c>
    </row>
    <row r="3425" spans="1:2" x14ac:dyDescent="0.2">
      <c r="A3425" t="str">
        <f>"CMTM3"</f>
        <v>CMTM3</v>
      </c>
      <c r="B3425" t="s">
        <v>5</v>
      </c>
    </row>
    <row r="3426" spans="1:2" x14ac:dyDescent="0.2">
      <c r="A3426" t="str">
        <f>"CMTM4"</f>
        <v>CMTM4</v>
      </c>
      <c r="B3426" t="s">
        <v>5</v>
      </c>
    </row>
    <row r="3427" spans="1:2" x14ac:dyDescent="0.2">
      <c r="A3427" t="str">
        <f>"CMTM5"</f>
        <v>CMTM5</v>
      </c>
      <c r="B3427" t="s">
        <v>5</v>
      </c>
    </row>
    <row r="3428" spans="1:2" x14ac:dyDescent="0.2">
      <c r="A3428" t="str">
        <f>"CMTM6"</f>
        <v>CMTM6</v>
      </c>
      <c r="B3428" t="s">
        <v>5</v>
      </c>
    </row>
    <row r="3429" spans="1:2" x14ac:dyDescent="0.2">
      <c r="A3429" t="str">
        <f>"CMTM7"</f>
        <v>CMTM7</v>
      </c>
      <c r="B3429" t="s">
        <v>8</v>
      </c>
    </row>
    <row r="3430" spans="1:2" x14ac:dyDescent="0.2">
      <c r="A3430" t="str">
        <f>"CMTM8"</f>
        <v>CMTM8</v>
      </c>
      <c r="B3430" t="s">
        <v>5</v>
      </c>
    </row>
    <row r="3431" spans="1:2" x14ac:dyDescent="0.2">
      <c r="A3431" t="str">
        <f>"CMTR1"</f>
        <v>CMTR1</v>
      </c>
      <c r="B3431" t="s">
        <v>4</v>
      </c>
    </row>
    <row r="3432" spans="1:2" x14ac:dyDescent="0.2">
      <c r="A3432" t="str">
        <f>"CMTR2"</f>
        <v>CMTR2</v>
      </c>
      <c r="B3432" t="s">
        <v>5</v>
      </c>
    </row>
    <row r="3433" spans="1:2" x14ac:dyDescent="0.2">
      <c r="A3433" t="str">
        <f>"CMYA5"</f>
        <v>CMYA5</v>
      </c>
      <c r="B3433" t="s">
        <v>3</v>
      </c>
    </row>
    <row r="3434" spans="1:2" x14ac:dyDescent="0.2">
      <c r="A3434" t="str">
        <f>"CNBD1"</f>
        <v>CNBD1</v>
      </c>
      <c r="B3434" t="s">
        <v>4</v>
      </c>
    </row>
    <row r="3435" spans="1:2" x14ac:dyDescent="0.2">
      <c r="A3435" t="str">
        <f>"CNBD2"</f>
        <v>CNBD2</v>
      </c>
      <c r="B3435" t="s">
        <v>4</v>
      </c>
    </row>
    <row r="3436" spans="1:2" x14ac:dyDescent="0.2">
      <c r="A3436" t="str">
        <f>"CNBP"</f>
        <v>CNBP</v>
      </c>
      <c r="B3436" t="s">
        <v>3</v>
      </c>
    </row>
    <row r="3437" spans="1:2" x14ac:dyDescent="0.2">
      <c r="A3437" t="str">
        <f>"CNDP1"</f>
        <v>CNDP1</v>
      </c>
      <c r="B3437" t="s">
        <v>2</v>
      </c>
    </row>
    <row r="3438" spans="1:2" x14ac:dyDescent="0.2">
      <c r="A3438" t="str">
        <f>"CNDP2"</f>
        <v>CNDP2</v>
      </c>
      <c r="B3438" t="s">
        <v>2</v>
      </c>
    </row>
    <row r="3439" spans="1:2" x14ac:dyDescent="0.2">
      <c r="A3439" t="str">
        <f>"CNEP1R1"</f>
        <v>CNEP1R1</v>
      </c>
      <c r="B3439" t="s">
        <v>5</v>
      </c>
    </row>
    <row r="3440" spans="1:2" x14ac:dyDescent="0.2">
      <c r="A3440" t="str">
        <f>"CNFN"</f>
        <v>CNFN</v>
      </c>
      <c r="B3440" t="s">
        <v>4</v>
      </c>
    </row>
    <row r="3441" spans="1:2" x14ac:dyDescent="0.2">
      <c r="A3441" t="str">
        <f>"CNGA1"</f>
        <v>CNGA1</v>
      </c>
      <c r="B3441" t="s">
        <v>8</v>
      </c>
    </row>
    <row r="3442" spans="1:2" x14ac:dyDescent="0.2">
      <c r="A3442" t="str">
        <f>"CNGA2"</f>
        <v>CNGA2</v>
      </c>
      <c r="B3442" t="s">
        <v>5</v>
      </c>
    </row>
    <row r="3443" spans="1:2" x14ac:dyDescent="0.2">
      <c r="A3443" t="str">
        <f>"CNGA3"</f>
        <v>CNGA3</v>
      </c>
      <c r="B3443" t="s">
        <v>5</v>
      </c>
    </row>
    <row r="3444" spans="1:2" x14ac:dyDescent="0.2">
      <c r="A3444" t="str">
        <f>"CNGA4"</f>
        <v>CNGA4</v>
      </c>
      <c r="B3444" t="s">
        <v>5</v>
      </c>
    </row>
    <row r="3445" spans="1:2" x14ac:dyDescent="0.2">
      <c r="A3445" t="str">
        <f>"CNGB1"</f>
        <v>CNGB1</v>
      </c>
      <c r="B3445" t="s">
        <v>5</v>
      </c>
    </row>
    <row r="3446" spans="1:2" x14ac:dyDescent="0.2">
      <c r="A3446" t="str">
        <f>"CNGB3"</f>
        <v>CNGB3</v>
      </c>
      <c r="B3446" t="s">
        <v>5</v>
      </c>
    </row>
    <row r="3447" spans="1:2" x14ac:dyDescent="0.2">
      <c r="A3447" t="str">
        <f>"CNIH1"</f>
        <v>CNIH1</v>
      </c>
      <c r="B3447" t="s">
        <v>6</v>
      </c>
    </row>
    <row r="3448" spans="1:2" x14ac:dyDescent="0.2">
      <c r="A3448" t="str">
        <f>"CNIH2"</f>
        <v>CNIH2</v>
      </c>
      <c r="B3448" t="s">
        <v>4</v>
      </c>
    </row>
    <row r="3449" spans="1:2" x14ac:dyDescent="0.2">
      <c r="A3449" t="str">
        <f>"CNIH3"</f>
        <v>CNIH3</v>
      </c>
      <c r="B3449" t="s">
        <v>5</v>
      </c>
    </row>
    <row r="3450" spans="1:2" x14ac:dyDescent="0.2">
      <c r="A3450" t="str">
        <f>"CNIH4"</f>
        <v>CNIH4</v>
      </c>
      <c r="B3450" t="s">
        <v>6</v>
      </c>
    </row>
    <row r="3451" spans="1:2" x14ac:dyDescent="0.2">
      <c r="A3451" t="str">
        <f>"CNKSR1"</f>
        <v>CNKSR1</v>
      </c>
      <c r="B3451" t="s">
        <v>7</v>
      </c>
    </row>
    <row r="3452" spans="1:2" x14ac:dyDescent="0.2">
      <c r="A3452" t="str">
        <f>"CNKSR2"</f>
        <v>CNKSR2</v>
      </c>
      <c r="B3452" t="s">
        <v>3</v>
      </c>
    </row>
    <row r="3453" spans="1:2" x14ac:dyDescent="0.2">
      <c r="A3453" t="str">
        <f>"CNKSR3"</f>
        <v>CNKSR3</v>
      </c>
      <c r="B3453" t="s">
        <v>7</v>
      </c>
    </row>
    <row r="3454" spans="1:2" x14ac:dyDescent="0.2">
      <c r="A3454" t="str">
        <f>"CNN1"</f>
        <v>CNN1</v>
      </c>
      <c r="B3454" t="s">
        <v>6</v>
      </c>
    </row>
    <row r="3455" spans="1:2" x14ac:dyDescent="0.2">
      <c r="A3455" t="str">
        <f>"CNN2"</f>
        <v>CNN2</v>
      </c>
      <c r="B3455" t="s">
        <v>6</v>
      </c>
    </row>
    <row r="3456" spans="1:2" x14ac:dyDescent="0.2">
      <c r="A3456" t="str">
        <f>"CNN3"</f>
        <v>CNN3</v>
      </c>
      <c r="B3456" t="s">
        <v>2</v>
      </c>
    </row>
    <row r="3457" spans="1:2" x14ac:dyDescent="0.2">
      <c r="A3457" t="str">
        <f>"CNNM1"</f>
        <v>CNNM1</v>
      </c>
      <c r="B3457" t="s">
        <v>5</v>
      </c>
    </row>
    <row r="3458" spans="1:2" x14ac:dyDescent="0.2">
      <c r="A3458" t="str">
        <f>"CNNM2"</f>
        <v>CNNM2</v>
      </c>
      <c r="B3458" t="s">
        <v>5</v>
      </c>
    </row>
    <row r="3459" spans="1:2" x14ac:dyDescent="0.2">
      <c r="A3459" t="str">
        <f>"CNNM3"</f>
        <v>CNNM3</v>
      </c>
      <c r="B3459" t="s">
        <v>5</v>
      </c>
    </row>
    <row r="3460" spans="1:2" x14ac:dyDescent="0.2">
      <c r="A3460" t="str">
        <f>"CNNM4"</f>
        <v>CNNM4</v>
      </c>
      <c r="B3460" t="s">
        <v>6</v>
      </c>
    </row>
    <row r="3461" spans="1:2" x14ac:dyDescent="0.2">
      <c r="A3461" t="str">
        <f>"CNOT1"</f>
        <v>CNOT1</v>
      </c>
      <c r="B3461" t="s">
        <v>2</v>
      </c>
    </row>
    <row r="3462" spans="1:2" x14ac:dyDescent="0.2">
      <c r="A3462" t="str">
        <f>"CNOT10"</f>
        <v>CNOT10</v>
      </c>
      <c r="B3462" t="s">
        <v>2</v>
      </c>
    </row>
    <row r="3463" spans="1:2" x14ac:dyDescent="0.2">
      <c r="A3463" t="str">
        <f>"CNOT11"</f>
        <v>CNOT11</v>
      </c>
      <c r="B3463" t="s">
        <v>4</v>
      </c>
    </row>
    <row r="3464" spans="1:2" x14ac:dyDescent="0.2">
      <c r="A3464" t="str">
        <f>"CNOT2"</f>
        <v>CNOT2</v>
      </c>
      <c r="B3464" t="s">
        <v>3</v>
      </c>
    </row>
    <row r="3465" spans="1:2" x14ac:dyDescent="0.2">
      <c r="A3465" t="str">
        <f>"CNOT3"</f>
        <v>CNOT3</v>
      </c>
      <c r="B3465" t="s">
        <v>8</v>
      </c>
    </row>
    <row r="3466" spans="1:2" x14ac:dyDescent="0.2">
      <c r="A3466" t="str">
        <f>"CNOT4"</f>
        <v>CNOT4</v>
      </c>
      <c r="B3466" t="s">
        <v>2</v>
      </c>
    </row>
    <row r="3467" spans="1:2" x14ac:dyDescent="0.2">
      <c r="A3467" t="str">
        <f>"CNOT6"</f>
        <v>CNOT6</v>
      </c>
      <c r="B3467" t="s">
        <v>8</v>
      </c>
    </row>
    <row r="3468" spans="1:2" x14ac:dyDescent="0.2">
      <c r="A3468" t="str">
        <f>"CNOT6L"</f>
        <v>CNOT6L</v>
      </c>
      <c r="B3468" t="s">
        <v>3</v>
      </c>
    </row>
    <row r="3469" spans="1:2" x14ac:dyDescent="0.2">
      <c r="A3469" t="str">
        <f>"CNOT7"</f>
        <v>CNOT7</v>
      </c>
      <c r="B3469" t="s">
        <v>8</v>
      </c>
    </row>
    <row r="3470" spans="1:2" x14ac:dyDescent="0.2">
      <c r="A3470" t="str">
        <f>"CNOT8"</f>
        <v>CNOT8</v>
      </c>
      <c r="B3470" t="s">
        <v>3</v>
      </c>
    </row>
    <row r="3471" spans="1:2" x14ac:dyDescent="0.2">
      <c r="A3471" t="str">
        <f>"CNP"</f>
        <v>CNP</v>
      </c>
      <c r="B3471" t="s">
        <v>3</v>
      </c>
    </row>
    <row r="3472" spans="1:2" x14ac:dyDescent="0.2">
      <c r="A3472" t="str">
        <f>"CNPPD1"</f>
        <v>CNPPD1</v>
      </c>
      <c r="B3472" t="s">
        <v>5</v>
      </c>
    </row>
    <row r="3473" spans="1:2" x14ac:dyDescent="0.2">
      <c r="A3473" t="str">
        <f>"CNPY1"</f>
        <v>CNPY1</v>
      </c>
      <c r="B3473" t="s">
        <v>2</v>
      </c>
    </row>
    <row r="3474" spans="1:2" x14ac:dyDescent="0.2">
      <c r="A3474" t="str">
        <f>"CNPY2"</f>
        <v>CNPY2</v>
      </c>
      <c r="B3474" t="s">
        <v>2</v>
      </c>
    </row>
    <row r="3475" spans="1:2" x14ac:dyDescent="0.2">
      <c r="A3475" t="str">
        <f>"CNPY3"</f>
        <v>CNPY3</v>
      </c>
      <c r="B3475" t="s">
        <v>2</v>
      </c>
    </row>
    <row r="3476" spans="1:2" x14ac:dyDescent="0.2">
      <c r="A3476" t="str">
        <f>"CNPY4"</f>
        <v>CNPY4</v>
      </c>
      <c r="B3476" t="s">
        <v>3</v>
      </c>
    </row>
    <row r="3477" spans="1:2" x14ac:dyDescent="0.2">
      <c r="A3477" t="str">
        <f>"CNR1"</f>
        <v>CNR1</v>
      </c>
      <c r="B3477" t="s">
        <v>7</v>
      </c>
    </row>
    <row r="3478" spans="1:2" x14ac:dyDescent="0.2">
      <c r="A3478" t="str">
        <f>"CNR2"</f>
        <v>CNR2</v>
      </c>
      <c r="B3478" t="s">
        <v>7</v>
      </c>
    </row>
    <row r="3479" spans="1:2" x14ac:dyDescent="0.2">
      <c r="A3479" t="str">
        <f>"CNRIP1"</f>
        <v>CNRIP1</v>
      </c>
      <c r="B3479" t="s">
        <v>4</v>
      </c>
    </row>
    <row r="3480" spans="1:2" x14ac:dyDescent="0.2">
      <c r="A3480" t="str">
        <f>"CNST"</f>
        <v>CNST</v>
      </c>
      <c r="B3480" t="s">
        <v>5</v>
      </c>
    </row>
    <row r="3481" spans="1:2" x14ac:dyDescent="0.2">
      <c r="A3481" t="str">
        <f>"CNTD1"</f>
        <v>CNTD1</v>
      </c>
      <c r="B3481" t="s">
        <v>2</v>
      </c>
    </row>
    <row r="3482" spans="1:2" x14ac:dyDescent="0.2">
      <c r="A3482" t="str">
        <f>"CNTD2"</f>
        <v>CNTD2</v>
      </c>
      <c r="B3482" t="s">
        <v>4</v>
      </c>
    </row>
    <row r="3483" spans="1:2" x14ac:dyDescent="0.2">
      <c r="A3483" t="str">
        <f>"CNTF"</f>
        <v>CNTF</v>
      </c>
      <c r="B3483" t="s">
        <v>3</v>
      </c>
    </row>
    <row r="3484" spans="1:2" x14ac:dyDescent="0.2">
      <c r="A3484" t="str">
        <f>"CNTFR"</f>
        <v>CNTFR</v>
      </c>
      <c r="B3484" t="s">
        <v>5</v>
      </c>
    </row>
    <row r="3485" spans="1:2" x14ac:dyDescent="0.2">
      <c r="A3485" t="str">
        <f>"CNTLN"</f>
        <v>CNTLN</v>
      </c>
      <c r="B3485" t="s">
        <v>6</v>
      </c>
    </row>
    <row r="3486" spans="1:2" x14ac:dyDescent="0.2">
      <c r="A3486" t="str">
        <f>"CNTN1"</f>
        <v>CNTN1</v>
      </c>
      <c r="B3486" t="s">
        <v>3</v>
      </c>
    </row>
    <row r="3487" spans="1:2" x14ac:dyDescent="0.2">
      <c r="A3487" t="str">
        <f>"CNTN2"</f>
        <v>CNTN2</v>
      </c>
      <c r="B3487" t="s">
        <v>4</v>
      </c>
    </row>
    <row r="3488" spans="1:2" x14ac:dyDescent="0.2">
      <c r="A3488" t="str">
        <f>"CNTN3"</f>
        <v>CNTN3</v>
      </c>
      <c r="B3488" t="s">
        <v>3</v>
      </c>
    </row>
    <row r="3489" spans="1:2" x14ac:dyDescent="0.2">
      <c r="A3489" t="str">
        <f>"CNTN4"</f>
        <v>CNTN4</v>
      </c>
      <c r="B3489" t="s">
        <v>3</v>
      </c>
    </row>
    <row r="3490" spans="1:2" x14ac:dyDescent="0.2">
      <c r="A3490" t="str">
        <f>"CNTN5"</f>
        <v>CNTN5</v>
      </c>
      <c r="B3490" t="s">
        <v>3</v>
      </c>
    </row>
    <row r="3491" spans="1:2" x14ac:dyDescent="0.2">
      <c r="A3491" t="str">
        <f>"CNTN6"</f>
        <v>CNTN6</v>
      </c>
      <c r="B3491" t="s">
        <v>3</v>
      </c>
    </row>
    <row r="3492" spans="1:2" x14ac:dyDescent="0.2">
      <c r="A3492" t="str">
        <f>"CNTNAP1"</f>
        <v>CNTNAP1</v>
      </c>
      <c r="B3492" t="s">
        <v>5</v>
      </c>
    </row>
    <row r="3493" spans="1:2" x14ac:dyDescent="0.2">
      <c r="A3493" t="str">
        <f>"CNTNAP2"</f>
        <v>CNTNAP2</v>
      </c>
      <c r="B3493" t="s">
        <v>2</v>
      </c>
    </row>
    <row r="3494" spans="1:2" x14ac:dyDescent="0.2">
      <c r="A3494" t="str">
        <f>"CNTNAP4"</f>
        <v>CNTNAP4</v>
      </c>
      <c r="B3494" t="s">
        <v>5</v>
      </c>
    </row>
    <row r="3495" spans="1:2" x14ac:dyDescent="0.2">
      <c r="A3495" t="str">
        <f>"CNTNAP5"</f>
        <v>CNTNAP5</v>
      </c>
      <c r="B3495" t="s">
        <v>5</v>
      </c>
    </row>
    <row r="3496" spans="1:2" x14ac:dyDescent="0.2">
      <c r="A3496" t="str">
        <f>"CNTRL"</f>
        <v>CNTRL</v>
      </c>
      <c r="B3496" t="s">
        <v>3</v>
      </c>
    </row>
    <row r="3497" spans="1:2" x14ac:dyDescent="0.2">
      <c r="A3497" t="str">
        <f>"CNTROB"</f>
        <v>CNTROB</v>
      </c>
      <c r="B3497" t="s">
        <v>3</v>
      </c>
    </row>
    <row r="3498" spans="1:2" x14ac:dyDescent="0.2">
      <c r="A3498" t="str">
        <f>"COA1"</f>
        <v>COA1</v>
      </c>
      <c r="B3498" t="s">
        <v>5</v>
      </c>
    </row>
    <row r="3499" spans="1:2" x14ac:dyDescent="0.2">
      <c r="A3499" t="str">
        <f>"COA3"</f>
        <v>COA3</v>
      </c>
      <c r="B3499" t="s">
        <v>2</v>
      </c>
    </row>
    <row r="3500" spans="1:2" x14ac:dyDescent="0.2">
      <c r="A3500" t="str">
        <f>"COA4"</f>
        <v>COA4</v>
      </c>
      <c r="B3500" t="s">
        <v>6</v>
      </c>
    </row>
    <row r="3501" spans="1:2" x14ac:dyDescent="0.2">
      <c r="A3501" t="str">
        <f>"COA5"</f>
        <v>COA5</v>
      </c>
      <c r="B3501" t="s">
        <v>6</v>
      </c>
    </row>
    <row r="3502" spans="1:2" x14ac:dyDescent="0.2">
      <c r="A3502" t="str">
        <f>"COA6"</f>
        <v>COA6</v>
      </c>
      <c r="B3502" t="s">
        <v>6</v>
      </c>
    </row>
    <row r="3503" spans="1:2" x14ac:dyDescent="0.2">
      <c r="A3503" t="str">
        <f>"COASY"</f>
        <v>COASY</v>
      </c>
      <c r="B3503" t="s">
        <v>3</v>
      </c>
    </row>
    <row r="3504" spans="1:2" x14ac:dyDescent="0.2">
      <c r="A3504" t="str">
        <f>"COBL"</f>
        <v>COBL</v>
      </c>
      <c r="B3504" t="s">
        <v>4</v>
      </c>
    </row>
    <row r="3505" spans="1:2" x14ac:dyDescent="0.2">
      <c r="A3505" t="str">
        <f>"COBLL1"</f>
        <v>COBLL1</v>
      </c>
      <c r="B3505" t="s">
        <v>6</v>
      </c>
    </row>
    <row r="3506" spans="1:2" x14ac:dyDescent="0.2">
      <c r="A3506" t="str">
        <f>"COCH"</f>
        <v>COCH</v>
      </c>
      <c r="B3506" t="s">
        <v>3</v>
      </c>
    </row>
    <row r="3507" spans="1:2" x14ac:dyDescent="0.2">
      <c r="A3507" t="str">
        <f>"COG1"</f>
        <v>COG1</v>
      </c>
      <c r="B3507" t="s">
        <v>6</v>
      </c>
    </row>
    <row r="3508" spans="1:2" x14ac:dyDescent="0.2">
      <c r="A3508" t="str">
        <f>"COG2"</f>
        <v>COG2</v>
      </c>
      <c r="B3508" t="s">
        <v>2</v>
      </c>
    </row>
    <row r="3509" spans="1:2" x14ac:dyDescent="0.2">
      <c r="A3509" t="str">
        <f>"COG3"</f>
        <v>COG3</v>
      </c>
      <c r="B3509" t="s">
        <v>2</v>
      </c>
    </row>
    <row r="3510" spans="1:2" x14ac:dyDescent="0.2">
      <c r="A3510" t="str">
        <f>"COG4"</f>
        <v>COG4</v>
      </c>
      <c r="B3510" t="s">
        <v>2</v>
      </c>
    </row>
    <row r="3511" spans="1:2" x14ac:dyDescent="0.2">
      <c r="A3511" t="str">
        <f>"COG5"</f>
        <v>COG5</v>
      </c>
      <c r="B3511" t="s">
        <v>2</v>
      </c>
    </row>
    <row r="3512" spans="1:2" x14ac:dyDescent="0.2">
      <c r="A3512" t="str">
        <f>"COG6"</f>
        <v>COG6</v>
      </c>
      <c r="B3512" t="s">
        <v>4</v>
      </c>
    </row>
    <row r="3513" spans="1:2" x14ac:dyDescent="0.2">
      <c r="A3513" t="str">
        <f>"COG7"</f>
        <v>COG7</v>
      </c>
      <c r="B3513" t="s">
        <v>4</v>
      </c>
    </row>
    <row r="3514" spans="1:2" x14ac:dyDescent="0.2">
      <c r="A3514" t="str">
        <f>"COG8"</f>
        <v>COG8</v>
      </c>
      <c r="B3514" t="s">
        <v>6</v>
      </c>
    </row>
    <row r="3515" spans="1:2" x14ac:dyDescent="0.2">
      <c r="A3515" t="str">
        <f>"COIL"</f>
        <v>COIL</v>
      </c>
      <c r="B3515" t="s">
        <v>8</v>
      </c>
    </row>
    <row r="3516" spans="1:2" x14ac:dyDescent="0.2">
      <c r="A3516" t="str">
        <f>"COL10A1"</f>
        <v>COL10A1</v>
      </c>
      <c r="B3516" t="s">
        <v>4</v>
      </c>
    </row>
    <row r="3517" spans="1:2" x14ac:dyDescent="0.2">
      <c r="A3517" t="str">
        <f>"COL11A1"</f>
        <v>COL11A1</v>
      </c>
      <c r="B3517" t="s">
        <v>3</v>
      </c>
    </row>
    <row r="3518" spans="1:2" x14ac:dyDescent="0.2">
      <c r="A3518" t="str">
        <f>"COL11A2"</f>
        <v>COL11A2</v>
      </c>
      <c r="B3518" t="s">
        <v>4</v>
      </c>
    </row>
    <row r="3519" spans="1:2" x14ac:dyDescent="0.2">
      <c r="A3519" t="str">
        <f>"COL12A1"</f>
        <v>COL12A1</v>
      </c>
      <c r="B3519" t="s">
        <v>4</v>
      </c>
    </row>
    <row r="3520" spans="1:2" x14ac:dyDescent="0.2">
      <c r="A3520" t="str">
        <f>"COL13A1"</f>
        <v>COL13A1</v>
      </c>
      <c r="B3520" t="s">
        <v>4</v>
      </c>
    </row>
    <row r="3521" spans="1:2" x14ac:dyDescent="0.2">
      <c r="A3521" t="str">
        <f>"COL14A1"</f>
        <v>COL14A1</v>
      </c>
      <c r="B3521" t="s">
        <v>6</v>
      </c>
    </row>
    <row r="3522" spans="1:2" x14ac:dyDescent="0.2">
      <c r="A3522" t="str">
        <f>"COL15A1"</f>
        <v>COL15A1</v>
      </c>
      <c r="B3522" t="s">
        <v>4</v>
      </c>
    </row>
    <row r="3523" spans="1:2" x14ac:dyDescent="0.2">
      <c r="A3523" t="str">
        <f>"COL16A1"</f>
        <v>COL16A1</v>
      </c>
      <c r="B3523" t="s">
        <v>4</v>
      </c>
    </row>
    <row r="3524" spans="1:2" x14ac:dyDescent="0.2">
      <c r="A3524" t="str">
        <f>"COL17A1"</f>
        <v>COL17A1</v>
      </c>
      <c r="B3524" t="s">
        <v>5</v>
      </c>
    </row>
    <row r="3525" spans="1:2" x14ac:dyDescent="0.2">
      <c r="A3525" t="str">
        <f>"COL18A1"</f>
        <v>COL18A1</v>
      </c>
      <c r="B3525" t="s">
        <v>3</v>
      </c>
    </row>
    <row r="3526" spans="1:2" x14ac:dyDescent="0.2">
      <c r="A3526" t="str">
        <f>"COL19A1"</f>
        <v>COL19A1</v>
      </c>
      <c r="B3526" t="s">
        <v>3</v>
      </c>
    </row>
    <row r="3527" spans="1:2" x14ac:dyDescent="0.2">
      <c r="A3527" t="str">
        <f>"COL1A1"</f>
        <v>COL1A1</v>
      </c>
      <c r="B3527" t="s">
        <v>3</v>
      </c>
    </row>
    <row r="3528" spans="1:2" x14ac:dyDescent="0.2">
      <c r="A3528" t="str">
        <f>"COL1A2"</f>
        <v>COL1A2</v>
      </c>
      <c r="B3528" t="s">
        <v>3</v>
      </c>
    </row>
    <row r="3529" spans="1:2" x14ac:dyDescent="0.2">
      <c r="A3529" t="str">
        <f>"COL20A1"</f>
        <v>COL20A1</v>
      </c>
      <c r="B3529" t="s">
        <v>4</v>
      </c>
    </row>
    <row r="3530" spans="1:2" x14ac:dyDescent="0.2">
      <c r="A3530" t="str">
        <f>"COL21A1"</f>
        <v>COL21A1</v>
      </c>
      <c r="B3530" t="s">
        <v>4</v>
      </c>
    </row>
    <row r="3531" spans="1:2" x14ac:dyDescent="0.2">
      <c r="A3531" t="str">
        <f>"COL22A1"</f>
        <v>COL22A1</v>
      </c>
      <c r="B3531" t="s">
        <v>4</v>
      </c>
    </row>
    <row r="3532" spans="1:2" x14ac:dyDescent="0.2">
      <c r="A3532" t="str">
        <f>"COL23A1"</f>
        <v>COL23A1</v>
      </c>
      <c r="B3532" t="s">
        <v>5</v>
      </c>
    </row>
    <row r="3533" spans="1:2" x14ac:dyDescent="0.2">
      <c r="A3533" t="str">
        <f>"COL24A1"</f>
        <v>COL24A1</v>
      </c>
      <c r="B3533" t="s">
        <v>4</v>
      </c>
    </row>
    <row r="3534" spans="1:2" x14ac:dyDescent="0.2">
      <c r="A3534" t="str">
        <f>"COL25A1"</f>
        <v>COL25A1</v>
      </c>
      <c r="B3534" t="s">
        <v>5</v>
      </c>
    </row>
    <row r="3535" spans="1:2" x14ac:dyDescent="0.2">
      <c r="A3535" t="str">
        <f>"COL26A1"</f>
        <v>COL26A1</v>
      </c>
      <c r="B3535" t="s">
        <v>2</v>
      </c>
    </row>
    <row r="3536" spans="1:2" x14ac:dyDescent="0.2">
      <c r="A3536" t="str">
        <f>"COL27A1"</f>
        <v>COL27A1</v>
      </c>
      <c r="B3536" t="s">
        <v>4</v>
      </c>
    </row>
    <row r="3537" spans="1:2" x14ac:dyDescent="0.2">
      <c r="A3537" t="str">
        <f>"COL28A1"</f>
        <v>COL28A1</v>
      </c>
      <c r="B3537" t="s">
        <v>4</v>
      </c>
    </row>
    <row r="3538" spans="1:2" x14ac:dyDescent="0.2">
      <c r="A3538" t="str">
        <f>"COL2A1"</f>
        <v>COL2A1</v>
      </c>
      <c r="B3538" t="s">
        <v>7</v>
      </c>
    </row>
    <row r="3539" spans="1:2" x14ac:dyDescent="0.2">
      <c r="A3539" t="str">
        <f>"COL3A1"</f>
        <v>COL3A1</v>
      </c>
      <c r="B3539" t="s">
        <v>3</v>
      </c>
    </row>
    <row r="3540" spans="1:2" x14ac:dyDescent="0.2">
      <c r="A3540" t="str">
        <f>"COL4A1"</f>
        <v>COL4A1</v>
      </c>
      <c r="B3540" t="s">
        <v>3</v>
      </c>
    </row>
    <row r="3541" spans="1:2" x14ac:dyDescent="0.2">
      <c r="A3541" t="str">
        <f>"COL4A2"</f>
        <v>COL4A2</v>
      </c>
      <c r="B3541" t="s">
        <v>3</v>
      </c>
    </row>
    <row r="3542" spans="1:2" x14ac:dyDescent="0.2">
      <c r="A3542" t="str">
        <f>"COL4A3"</f>
        <v>COL4A3</v>
      </c>
      <c r="B3542" t="s">
        <v>3</v>
      </c>
    </row>
    <row r="3543" spans="1:2" x14ac:dyDescent="0.2">
      <c r="A3543" t="str">
        <f>"COL4A3BP"</f>
        <v>COL4A3BP</v>
      </c>
      <c r="B3543" t="s">
        <v>2</v>
      </c>
    </row>
    <row r="3544" spans="1:2" x14ac:dyDescent="0.2">
      <c r="A3544" t="str">
        <f>"COL4A4"</f>
        <v>COL4A4</v>
      </c>
      <c r="B3544" t="s">
        <v>3</v>
      </c>
    </row>
    <row r="3545" spans="1:2" x14ac:dyDescent="0.2">
      <c r="A3545" t="str">
        <f>"COL4A5"</f>
        <v>COL4A5</v>
      </c>
      <c r="B3545" t="s">
        <v>4</v>
      </c>
    </row>
    <row r="3546" spans="1:2" x14ac:dyDescent="0.2">
      <c r="A3546" t="str">
        <f>"COL4A6"</f>
        <v>COL4A6</v>
      </c>
      <c r="B3546" t="s">
        <v>3</v>
      </c>
    </row>
    <row r="3547" spans="1:2" x14ac:dyDescent="0.2">
      <c r="A3547" t="str">
        <f>"COL5A1"</f>
        <v>COL5A1</v>
      </c>
      <c r="B3547" t="s">
        <v>3</v>
      </c>
    </row>
    <row r="3548" spans="1:2" x14ac:dyDescent="0.2">
      <c r="A3548" t="str">
        <f>"COL5A2"</f>
        <v>COL5A2</v>
      </c>
      <c r="B3548" t="s">
        <v>2</v>
      </c>
    </row>
    <row r="3549" spans="1:2" x14ac:dyDescent="0.2">
      <c r="A3549" t="str">
        <f>"COL5A3"</f>
        <v>COL5A3</v>
      </c>
      <c r="B3549" t="s">
        <v>3</v>
      </c>
    </row>
    <row r="3550" spans="1:2" x14ac:dyDescent="0.2">
      <c r="A3550" t="str">
        <f>"COL6A1"</f>
        <v>COL6A1</v>
      </c>
      <c r="B3550" t="s">
        <v>4</v>
      </c>
    </row>
    <row r="3551" spans="1:2" x14ac:dyDescent="0.2">
      <c r="A3551" t="str">
        <f>"COL6A2"</f>
        <v>COL6A2</v>
      </c>
      <c r="B3551" t="s">
        <v>3</v>
      </c>
    </row>
    <row r="3552" spans="1:2" x14ac:dyDescent="0.2">
      <c r="A3552" t="str">
        <f>"COL6A3"</f>
        <v>COL6A3</v>
      </c>
      <c r="B3552" t="s">
        <v>4</v>
      </c>
    </row>
    <row r="3553" spans="1:2" x14ac:dyDescent="0.2">
      <c r="A3553" t="str">
        <f>"COL6A5"</f>
        <v>COL6A5</v>
      </c>
      <c r="B3553" t="s">
        <v>4</v>
      </c>
    </row>
    <row r="3554" spans="1:2" x14ac:dyDescent="0.2">
      <c r="A3554" t="str">
        <f>"COL6A6"</f>
        <v>COL6A6</v>
      </c>
      <c r="B3554" t="s">
        <v>4</v>
      </c>
    </row>
    <row r="3555" spans="1:2" x14ac:dyDescent="0.2">
      <c r="A3555" t="str">
        <f>"COL7A1"</f>
        <v>COL7A1</v>
      </c>
      <c r="B3555" t="s">
        <v>3</v>
      </c>
    </row>
    <row r="3556" spans="1:2" x14ac:dyDescent="0.2">
      <c r="A3556" t="str">
        <f>"COL8A1"</f>
        <v>COL8A1</v>
      </c>
      <c r="B3556" t="s">
        <v>4</v>
      </c>
    </row>
    <row r="3557" spans="1:2" x14ac:dyDescent="0.2">
      <c r="A3557" t="str">
        <f>"COL8A2"</f>
        <v>COL8A2</v>
      </c>
      <c r="B3557" t="s">
        <v>4</v>
      </c>
    </row>
    <row r="3558" spans="1:2" x14ac:dyDescent="0.2">
      <c r="A3558" t="str">
        <f>"COL9A1"</f>
        <v>COL9A1</v>
      </c>
      <c r="B3558" t="s">
        <v>5</v>
      </c>
    </row>
    <row r="3559" spans="1:2" x14ac:dyDescent="0.2">
      <c r="A3559" t="str">
        <f>"COL9A2"</f>
        <v>COL9A2</v>
      </c>
      <c r="B3559" t="s">
        <v>4</v>
      </c>
    </row>
    <row r="3560" spans="1:2" x14ac:dyDescent="0.2">
      <c r="A3560" t="str">
        <f>"COL9A3"</f>
        <v>COL9A3</v>
      </c>
      <c r="B3560" t="s">
        <v>3</v>
      </c>
    </row>
    <row r="3561" spans="1:2" x14ac:dyDescent="0.2">
      <c r="A3561" t="str">
        <f>"COLCA2"</f>
        <v>COLCA2</v>
      </c>
      <c r="B3561" t="s">
        <v>4</v>
      </c>
    </row>
    <row r="3562" spans="1:2" x14ac:dyDescent="0.2">
      <c r="A3562" t="str">
        <f>"COLEC10"</f>
        <v>COLEC10</v>
      </c>
      <c r="B3562" t="s">
        <v>4</v>
      </c>
    </row>
    <row r="3563" spans="1:2" x14ac:dyDescent="0.2">
      <c r="A3563" t="str">
        <f>"COLEC11"</f>
        <v>COLEC11</v>
      </c>
      <c r="B3563" t="s">
        <v>4</v>
      </c>
    </row>
    <row r="3564" spans="1:2" x14ac:dyDescent="0.2">
      <c r="A3564" t="str">
        <f>"COLEC12"</f>
        <v>COLEC12</v>
      </c>
      <c r="B3564" t="s">
        <v>5</v>
      </c>
    </row>
    <row r="3565" spans="1:2" x14ac:dyDescent="0.2">
      <c r="A3565" t="str">
        <f>"COLGALT1"</f>
        <v>COLGALT1</v>
      </c>
      <c r="B3565" t="s">
        <v>6</v>
      </c>
    </row>
    <row r="3566" spans="1:2" x14ac:dyDescent="0.2">
      <c r="A3566" t="str">
        <f>"COLGALT2"</f>
        <v>COLGALT2</v>
      </c>
      <c r="B3566" t="s">
        <v>2</v>
      </c>
    </row>
    <row r="3567" spans="1:2" x14ac:dyDescent="0.2">
      <c r="A3567" t="str">
        <f>"COLQ"</f>
        <v>COLQ</v>
      </c>
      <c r="B3567" t="s">
        <v>5</v>
      </c>
    </row>
    <row r="3568" spans="1:2" x14ac:dyDescent="0.2">
      <c r="A3568" t="str">
        <f>"COMMD1"</f>
        <v>COMMD1</v>
      </c>
      <c r="B3568" t="s">
        <v>3</v>
      </c>
    </row>
    <row r="3569" spans="1:2" x14ac:dyDescent="0.2">
      <c r="A3569" t="str">
        <f>"COMMD10"</f>
        <v>COMMD10</v>
      </c>
      <c r="B3569" t="s">
        <v>6</v>
      </c>
    </row>
    <row r="3570" spans="1:2" x14ac:dyDescent="0.2">
      <c r="A3570" t="str">
        <f>"COMMD2"</f>
        <v>COMMD2</v>
      </c>
      <c r="B3570" t="s">
        <v>4</v>
      </c>
    </row>
    <row r="3571" spans="1:2" x14ac:dyDescent="0.2">
      <c r="A3571" t="str">
        <f>"COMMD3"</f>
        <v>COMMD3</v>
      </c>
      <c r="B3571" t="s">
        <v>4</v>
      </c>
    </row>
    <row r="3572" spans="1:2" x14ac:dyDescent="0.2">
      <c r="A3572" t="str">
        <f>"COMMD3-BMI1"</f>
        <v>COMMD3-BMI1</v>
      </c>
      <c r="B3572" t="s">
        <v>4</v>
      </c>
    </row>
    <row r="3573" spans="1:2" x14ac:dyDescent="0.2">
      <c r="A3573" t="str">
        <f>"COMMD4"</f>
        <v>COMMD4</v>
      </c>
      <c r="B3573" t="s">
        <v>3</v>
      </c>
    </row>
    <row r="3574" spans="1:2" x14ac:dyDescent="0.2">
      <c r="A3574" t="str">
        <f>"COMMD5"</f>
        <v>COMMD5</v>
      </c>
      <c r="B3574" t="s">
        <v>3</v>
      </c>
    </row>
    <row r="3575" spans="1:2" x14ac:dyDescent="0.2">
      <c r="A3575" t="str">
        <f>"COMMD6"</f>
        <v>COMMD6</v>
      </c>
      <c r="B3575" t="s">
        <v>4</v>
      </c>
    </row>
    <row r="3576" spans="1:2" x14ac:dyDescent="0.2">
      <c r="A3576" t="str">
        <f>"COMMD7"</f>
        <v>COMMD7</v>
      </c>
      <c r="B3576" t="s">
        <v>4</v>
      </c>
    </row>
    <row r="3577" spans="1:2" x14ac:dyDescent="0.2">
      <c r="A3577" t="str">
        <f>"COMMD8"</f>
        <v>COMMD8</v>
      </c>
      <c r="B3577" t="s">
        <v>4</v>
      </c>
    </row>
    <row r="3578" spans="1:2" x14ac:dyDescent="0.2">
      <c r="A3578" t="str">
        <f>"COMMD9"</f>
        <v>COMMD9</v>
      </c>
      <c r="B3578" t="s">
        <v>2</v>
      </c>
    </row>
    <row r="3579" spans="1:2" x14ac:dyDescent="0.2">
      <c r="A3579" t="str">
        <f>"COMP"</f>
        <v>COMP</v>
      </c>
      <c r="B3579" t="s">
        <v>7</v>
      </c>
    </row>
    <row r="3580" spans="1:2" x14ac:dyDescent="0.2">
      <c r="A3580" t="str">
        <f>"COMT"</f>
        <v>COMT</v>
      </c>
      <c r="B3580" t="s">
        <v>3</v>
      </c>
    </row>
    <row r="3581" spans="1:2" x14ac:dyDescent="0.2">
      <c r="A3581" t="str">
        <f>"COMTD1"</f>
        <v>COMTD1</v>
      </c>
      <c r="B3581" t="s">
        <v>7</v>
      </c>
    </row>
    <row r="3582" spans="1:2" x14ac:dyDescent="0.2">
      <c r="A3582" t="str">
        <f>"COPA"</f>
        <v>COPA</v>
      </c>
      <c r="B3582" t="s">
        <v>6</v>
      </c>
    </row>
    <row r="3583" spans="1:2" x14ac:dyDescent="0.2">
      <c r="A3583" t="str">
        <f>"COPB1"</f>
        <v>COPB1</v>
      </c>
      <c r="B3583" t="s">
        <v>6</v>
      </c>
    </row>
    <row r="3584" spans="1:2" x14ac:dyDescent="0.2">
      <c r="A3584" t="str">
        <f>"COPB2"</f>
        <v>COPB2</v>
      </c>
      <c r="B3584" t="s">
        <v>6</v>
      </c>
    </row>
    <row r="3585" spans="1:2" x14ac:dyDescent="0.2">
      <c r="A3585" t="str">
        <f>"COPE"</f>
        <v>COPE</v>
      </c>
      <c r="B3585" t="s">
        <v>6</v>
      </c>
    </row>
    <row r="3586" spans="1:2" x14ac:dyDescent="0.2">
      <c r="A3586" t="str">
        <f>"COPG1"</f>
        <v>COPG1</v>
      </c>
      <c r="B3586" t="s">
        <v>6</v>
      </c>
    </row>
    <row r="3587" spans="1:2" x14ac:dyDescent="0.2">
      <c r="A3587" t="str">
        <f>"COPG2"</f>
        <v>COPG2</v>
      </c>
      <c r="B3587" t="s">
        <v>6</v>
      </c>
    </row>
    <row r="3588" spans="1:2" x14ac:dyDescent="0.2">
      <c r="A3588" t="str">
        <f>"COPRS"</f>
        <v>COPRS</v>
      </c>
      <c r="B3588" t="s">
        <v>4</v>
      </c>
    </row>
    <row r="3589" spans="1:2" x14ac:dyDescent="0.2">
      <c r="A3589" t="str">
        <f>"COPS2"</f>
        <v>COPS2</v>
      </c>
      <c r="B3589" t="s">
        <v>3</v>
      </c>
    </row>
    <row r="3590" spans="1:2" x14ac:dyDescent="0.2">
      <c r="A3590" t="str">
        <f>"COPS3"</f>
        <v>COPS3</v>
      </c>
      <c r="B3590" t="s">
        <v>8</v>
      </c>
    </row>
    <row r="3591" spans="1:2" x14ac:dyDescent="0.2">
      <c r="A3591" t="str">
        <f>"COPS4"</f>
        <v>COPS4</v>
      </c>
      <c r="B3591" t="s">
        <v>8</v>
      </c>
    </row>
    <row r="3592" spans="1:2" x14ac:dyDescent="0.2">
      <c r="A3592" t="str">
        <f>"COPS5"</f>
        <v>COPS5</v>
      </c>
      <c r="B3592" t="s">
        <v>3</v>
      </c>
    </row>
    <row r="3593" spans="1:2" x14ac:dyDescent="0.2">
      <c r="A3593" t="str">
        <f>"COPS6"</f>
        <v>COPS6</v>
      </c>
      <c r="B3593" t="s">
        <v>2</v>
      </c>
    </row>
    <row r="3594" spans="1:2" x14ac:dyDescent="0.2">
      <c r="A3594" t="str">
        <f>"COPS7A"</f>
        <v>COPS7A</v>
      </c>
      <c r="B3594" t="s">
        <v>4</v>
      </c>
    </row>
    <row r="3595" spans="1:2" x14ac:dyDescent="0.2">
      <c r="A3595" t="str">
        <f>"COPS7B"</f>
        <v>COPS7B</v>
      </c>
      <c r="B3595" t="s">
        <v>4</v>
      </c>
    </row>
    <row r="3596" spans="1:2" x14ac:dyDescent="0.2">
      <c r="A3596" t="str">
        <f>"COPS8"</f>
        <v>COPS8</v>
      </c>
      <c r="B3596" t="s">
        <v>2</v>
      </c>
    </row>
    <row r="3597" spans="1:2" x14ac:dyDescent="0.2">
      <c r="A3597" t="str">
        <f>"COPZ1"</f>
        <v>COPZ1</v>
      </c>
      <c r="B3597" t="s">
        <v>6</v>
      </c>
    </row>
    <row r="3598" spans="1:2" x14ac:dyDescent="0.2">
      <c r="A3598" t="str">
        <f>"COPZ2"</f>
        <v>COPZ2</v>
      </c>
      <c r="B3598" t="s">
        <v>6</v>
      </c>
    </row>
    <row r="3599" spans="1:2" x14ac:dyDescent="0.2">
      <c r="A3599" t="str">
        <f>"COQ10A"</f>
        <v>COQ10A</v>
      </c>
      <c r="B3599" t="s">
        <v>6</v>
      </c>
    </row>
    <row r="3600" spans="1:2" x14ac:dyDescent="0.2">
      <c r="A3600" t="str">
        <f>"COQ10B"</f>
        <v>COQ10B</v>
      </c>
      <c r="B3600" t="s">
        <v>6</v>
      </c>
    </row>
    <row r="3601" spans="1:2" x14ac:dyDescent="0.2">
      <c r="A3601" t="str">
        <f>"COQ2"</f>
        <v>COQ2</v>
      </c>
      <c r="B3601" t="s">
        <v>6</v>
      </c>
    </row>
    <row r="3602" spans="1:2" x14ac:dyDescent="0.2">
      <c r="A3602" t="str">
        <f>"COQ3"</f>
        <v>COQ3</v>
      </c>
      <c r="B3602" t="s">
        <v>6</v>
      </c>
    </row>
    <row r="3603" spans="1:2" x14ac:dyDescent="0.2">
      <c r="A3603" t="str">
        <f>"COQ4"</f>
        <v>COQ4</v>
      </c>
      <c r="B3603" t="s">
        <v>6</v>
      </c>
    </row>
    <row r="3604" spans="1:2" x14ac:dyDescent="0.2">
      <c r="A3604" t="str">
        <f>"COQ5"</f>
        <v>COQ5</v>
      </c>
      <c r="B3604" t="s">
        <v>6</v>
      </c>
    </row>
    <row r="3605" spans="1:2" x14ac:dyDescent="0.2">
      <c r="A3605" t="str">
        <f>"COQ6"</f>
        <v>COQ6</v>
      </c>
      <c r="B3605" t="s">
        <v>3</v>
      </c>
    </row>
    <row r="3606" spans="1:2" x14ac:dyDescent="0.2">
      <c r="A3606" t="str">
        <f>"COQ7"</f>
        <v>COQ7</v>
      </c>
      <c r="B3606" t="s">
        <v>6</v>
      </c>
    </row>
    <row r="3607" spans="1:2" x14ac:dyDescent="0.2">
      <c r="A3607" t="str">
        <f>"COQ9"</f>
        <v>COQ9</v>
      </c>
      <c r="B3607" t="s">
        <v>2</v>
      </c>
    </row>
    <row r="3608" spans="1:2" x14ac:dyDescent="0.2">
      <c r="A3608" t="str">
        <f>"CORIN"</f>
        <v>CORIN</v>
      </c>
      <c r="B3608" t="s">
        <v>2</v>
      </c>
    </row>
    <row r="3609" spans="1:2" x14ac:dyDescent="0.2">
      <c r="A3609" t="str">
        <f>"CORO1A"</f>
        <v>CORO1A</v>
      </c>
      <c r="B3609" t="s">
        <v>2</v>
      </c>
    </row>
    <row r="3610" spans="1:2" x14ac:dyDescent="0.2">
      <c r="A3610" t="str">
        <f>"CORO1B"</f>
        <v>CORO1B</v>
      </c>
      <c r="B3610" t="s">
        <v>6</v>
      </c>
    </row>
    <row r="3611" spans="1:2" x14ac:dyDescent="0.2">
      <c r="A3611" t="str">
        <f>"CORO1C"</f>
        <v>CORO1C</v>
      </c>
      <c r="B3611" t="s">
        <v>6</v>
      </c>
    </row>
    <row r="3612" spans="1:2" x14ac:dyDescent="0.2">
      <c r="A3612" t="str">
        <f>"CORO2A"</f>
        <v>CORO2A</v>
      </c>
      <c r="B3612" t="s">
        <v>4</v>
      </c>
    </row>
    <row r="3613" spans="1:2" x14ac:dyDescent="0.2">
      <c r="A3613" t="str">
        <f>"CORO2B"</f>
        <v>CORO2B</v>
      </c>
      <c r="B3613" t="s">
        <v>6</v>
      </c>
    </row>
    <row r="3614" spans="1:2" x14ac:dyDescent="0.2">
      <c r="A3614" t="str">
        <f>"CORO6"</f>
        <v>CORO6</v>
      </c>
      <c r="B3614" t="s">
        <v>3</v>
      </c>
    </row>
    <row r="3615" spans="1:2" x14ac:dyDescent="0.2">
      <c r="A3615" t="str">
        <f>"CORO7"</f>
        <v>CORO7</v>
      </c>
      <c r="B3615" t="s">
        <v>6</v>
      </c>
    </row>
    <row r="3616" spans="1:2" x14ac:dyDescent="0.2">
      <c r="A3616" t="str">
        <f>"CORO7-PAM16"</f>
        <v>CORO7-PAM16</v>
      </c>
      <c r="B3616" t="s">
        <v>4</v>
      </c>
    </row>
    <row r="3617" spans="1:2" x14ac:dyDescent="0.2">
      <c r="A3617" t="str">
        <f>"CORT"</f>
        <v>CORT</v>
      </c>
      <c r="B3617" t="s">
        <v>4</v>
      </c>
    </row>
    <row r="3618" spans="1:2" x14ac:dyDescent="0.2">
      <c r="A3618" t="str">
        <f>"COTL1"</f>
        <v>COTL1</v>
      </c>
      <c r="B3618" t="s">
        <v>6</v>
      </c>
    </row>
    <row r="3619" spans="1:2" x14ac:dyDescent="0.2">
      <c r="A3619" t="str">
        <f>"COX10"</f>
        <v>COX10</v>
      </c>
      <c r="B3619" t="s">
        <v>6</v>
      </c>
    </row>
    <row r="3620" spans="1:2" x14ac:dyDescent="0.2">
      <c r="A3620" t="str">
        <f>"COX11"</f>
        <v>COX11</v>
      </c>
      <c r="B3620" t="s">
        <v>6</v>
      </c>
    </row>
    <row r="3621" spans="1:2" x14ac:dyDescent="0.2">
      <c r="A3621" t="str">
        <f>"COX14"</f>
        <v>COX14</v>
      </c>
      <c r="B3621" t="s">
        <v>6</v>
      </c>
    </row>
    <row r="3622" spans="1:2" x14ac:dyDescent="0.2">
      <c r="A3622" t="str">
        <f>"COX15"</f>
        <v>COX15</v>
      </c>
      <c r="B3622" t="s">
        <v>2</v>
      </c>
    </row>
    <row r="3623" spans="1:2" x14ac:dyDescent="0.2">
      <c r="A3623" t="str">
        <f>"COX16"</f>
        <v>COX16</v>
      </c>
      <c r="B3623" t="s">
        <v>6</v>
      </c>
    </row>
    <row r="3624" spans="1:2" x14ac:dyDescent="0.2">
      <c r="A3624" t="str">
        <f>"COX17"</f>
        <v>COX17</v>
      </c>
      <c r="B3624" t="s">
        <v>6</v>
      </c>
    </row>
    <row r="3625" spans="1:2" x14ac:dyDescent="0.2">
      <c r="A3625" t="str">
        <f>"COX18"</f>
        <v>COX18</v>
      </c>
      <c r="B3625" t="s">
        <v>6</v>
      </c>
    </row>
    <row r="3626" spans="1:2" x14ac:dyDescent="0.2">
      <c r="A3626" t="str">
        <f>"COX19"</f>
        <v>COX19</v>
      </c>
      <c r="B3626" t="s">
        <v>3</v>
      </c>
    </row>
    <row r="3627" spans="1:2" x14ac:dyDescent="0.2">
      <c r="A3627" t="str">
        <f>"COX20"</f>
        <v>COX20</v>
      </c>
      <c r="B3627" t="s">
        <v>6</v>
      </c>
    </row>
    <row r="3628" spans="1:2" x14ac:dyDescent="0.2">
      <c r="A3628" t="str">
        <f>"COX4I1"</f>
        <v>COX4I1</v>
      </c>
      <c r="B3628" t="s">
        <v>3</v>
      </c>
    </row>
    <row r="3629" spans="1:2" x14ac:dyDescent="0.2">
      <c r="A3629" t="str">
        <f>"COX4I2"</f>
        <v>COX4I2</v>
      </c>
      <c r="B3629" t="s">
        <v>6</v>
      </c>
    </row>
    <row r="3630" spans="1:2" x14ac:dyDescent="0.2">
      <c r="A3630" t="str">
        <f>"COX5A"</f>
        <v>COX5A</v>
      </c>
      <c r="B3630" t="s">
        <v>7</v>
      </c>
    </row>
    <row r="3631" spans="1:2" x14ac:dyDescent="0.2">
      <c r="A3631" t="str">
        <f>"COX5B"</f>
        <v>COX5B</v>
      </c>
      <c r="B3631" t="s">
        <v>7</v>
      </c>
    </row>
    <row r="3632" spans="1:2" x14ac:dyDescent="0.2">
      <c r="A3632" t="str">
        <f>"COX6A1"</f>
        <v>COX6A1</v>
      </c>
      <c r="B3632" t="s">
        <v>2</v>
      </c>
    </row>
    <row r="3633" spans="1:2" x14ac:dyDescent="0.2">
      <c r="A3633" t="str">
        <f>"COX6A2"</f>
        <v>COX6A2</v>
      </c>
      <c r="B3633" t="s">
        <v>7</v>
      </c>
    </row>
    <row r="3634" spans="1:2" x14ac:dyDescent="0.2">
      <c r="A3634" t="str">
        <f>"COX6B1"</f>
        <v>COX6B1</v>
      </c>
      <c r="B3634" t="s">
        <v>3</v>
      </c>
    </row>
    <row r="3635" spans="1:2" x14ac:dyDescent="0.2">
      <c r="A3635" t="str">
        <f>"COX6B2"</f>
        <v>COX6B2</v>
      </c>
      <c r="B3635" t="s">
        <v>6</v>
      </c>
    </row>
    <row r="3636" spans="1:2" x14ac:dyDescent="0.2">
      <c r="A3636" t="str">
        <f>"COX6C"</f>
        <v>COX6C</v>
      </c>
      <c r="B3636" t="s">
        <v>3</v>
      </c>
    </row>
    <row r="3637" spans="1:2" x14ac:dyDescent="0.2">
      <c r="A3637" t="str">
        <f>"COX7A1"</f>
        <v>COX7A1</v>
      </c>
      <c r="B3637" t="s">
        <v>7</v>
      </c>
    </row>
    <row r="3638" spans="1:2" x14ac:dyDescent="0.2">
      <c r="A3638" t="str">
        <f>"COX7A2"</f>
        <v>COX7A2</v>
      </c>
      <c r="B3638" t="s">
        <v>6</v>
      </c>
    </row>
    <row r="3639" spans="1:2" x14ac:dyDescent="0.2">
      <c r="A3639" t="str">
        <f>"COX7A2L"</f>
        <v>COX7A2L</v>
      </c>
      <c r="B3639" t="s">
        <v>6</v>
      </c>
    </row>
    <row r="3640" spans="1:2" x14ac:dyDescent="0.2">
      <c r="A3640" t="str">
        <f>"COX7B"</f>
        <v>COX7B</v>
      </c>
      <c r="B3640" t="s">
        <v>7</v>
      </c>
    </row>
    <row r="3641" spans="1:2" x14ac:dyDescent="0.2">
      <c r="A3641" t="str">
        <f>"COX7B2"</f>
        <v>COX7B2</v>
      </c>
      <c r="B3641" t="s">
        <v>6</v>
      </c>
    </row>
    <row r="3642" spans="1:2" x14ac:dyDescent="0.2">
      <c r="A3642" t="str">
        <f>"COX7C"</f>
        <v>COX7C</v>
      </c>
      <c r="B3642" t="s">
        <v>7</v>
      </c>
    </row>
    <row r="3643" spans="1:2" x14ac:dyDescent="0.2">
      <c r="A3643" t="str">
        <f>"COX8A"</f>
        <v>COX8A</v>
      </c>
      <c r="B3643" t="s">
        <v>7</v>
      </c>
    </row>
    <row r="3644" spans="1:2" x14ac:dyDescent="0.2">
      <c r="A3644" t="str">
        <f>"COX8C"</f>
        <v>COX8C</v>
      </c>
      <c r="B3644" t="s">
        <v>6</v>
      </c>
    </row>
    <row r="3645" spans="1:2" x14ac:dyDescent="0.2">
      <c r="A3645" t="str">
        <f>"CP"</f>
        <v>CP</v>
      </c>
      <c r="B3645" t="s">
        <v>7</v>
      </c>
    </row>
    <row r="3646" spans="1:2" x14ac:dyDescent="0.2">
      <c r="A3646" t="str">
        <f>"CPA1"</f>
        <v>CPA1</v>
      </c>
      <c r="B3646" t="s">
        <v>7</v>
      </c>
    </row>
    <row r="3647" spans="1:2" x14ac:dyDescent="0.2">
      <c r="A3647" t="str">
        <f>"CPA2"</f>
        <v>CPA2</v>
      </c>
      <c r="B3647" t="s">
        <v>2</v>
      </c>
    </row>
    <row r="3648" spans="1:2" x14ac:dyDescent="0.2">
      <c r="A3648" t="str">
        <f>"CPA3"</f>
        <v>CPA3</v>
      </c>
      <c r="B3648" t="s">
        <v>2</v>
      </c>
    </row>
    <row r="3649" spans="1:2" x14ac:dyDescent="0.2">
      <c r="A3649" t="str">
        <f>"CPA4"</f>
        <v>CPA4</v>
      </c>
      <c r="B3649" t="s">
        <v>2</v>
      </c>
    </row>
    <row r="3650" spans="1:2" x14ac:dyDescent="0.2">
      <c r="A3650" t="str">
        <f>"CPA5"</f>
        <v>CPA5</v>
      </c>
      <c r="B3650" t="s">
        <v>2</v>
      </c>
    </row>
    <row r="3651" spans="1:2" x14ac:dyDescent="0.2">
      <c r="A3651" t="str">
        <f>"CPA6"</f>
        <v>CPA6</v>
      </c>
      <c r="B3651" t="s">
        <v>2</v>
      </c>
    </row>
    <row r="3652" spans="1:2" x14ac:dyDescent="0.2">
      <c r="A3652" t="str">
        <f>"CPAMD8"</f>
        <v>CPAMD8</v>
      </c>
      <c r="B3652" t="s">
        <v>3</v>
      </c>
    </row>
    <row r="3653" spans="1:2" x14ac:dyDescent="0.2">
      <c r="A3653" t="str">
        <f>"CPB1"</f>
        <v>CPB1</v>
      </c>
      <c r="B3653" t="s">
        <v>7</v>
      </c>
    </row>
    <row r="3654" spans="1:2" x14ac:dyDescent="0.2">
      <c r="A3654" t="str">
        <f>"CPB2"</f>
        <v>CPB2</v>
      </c>
      <c r="B3654" t="s">
        <v>2</v>
      </c>
    </row>
    <row r="3655" spans="1:2" x14ac:dyDescent="0.2">
      <c r="A3655" t="str">
        <f>"CPD"</f>
        <v>CPD</v>
      </c>
      <c r="B3655" t="s">
        <v>7</v>
      </c>
    </row>
    <row r="3656" spans="1:2" x14ac:dyDescent="0.2">
      <c r="A3656" t="str">
        <f>"CPE"</f>
        <v>CPE</v>
      </c>
      <c r="B3656" t="s">
        <v>7</v>
      </c>
    </row>
    <row r="3657" spans="1:2" x14ac:dyDescent="0.2">
      <c r="A3657" t="str">
        <f>"CPEB1"</f>
        <v>CPEB1</v>
      </c>
      <c r="B3657" t="s">
        <v>8</v>
      </c>
    </row>
    <row r="3658" spans="1:2" x14ac:dyDescent="0.2">
      <c r="A3658" t="str">
        <f>"CPEB2"</f>
        <v>CPEB2</v>
      </c>
      <c r="B3658" t="s">
        <v>8</v>
      </c>
    </row>
    <row r="3659" spans="1:2" x14ac:dyDescent="0.2">
      <c r="A3659" t="str">
        <f>"CPEB3"</f>
        <v>CPEB3</v>
      </c>
      <c r="B3659" t="s">
        <v>8</v>
      </c>
    </row>
    <row r="3660" spans="1:2" x14ac:dyDescent="0.2">
      <c r="A3660" t="str">
        <f>"CPEB4"</f>
        <v>CPEB4</v>
      </c>
      <c r="B3660" t="s">
        <v>8</v>
      </c>
    </row>
    <row r="3661" spans="1:2" x14ac:dyDescent="0.2">
      <c r="A3661" t="str">
        <f>"CPED1"</f>
        <v>CPED1</v>
      </c>
      <c r="B3661" t="s">
        <v>6</v>
      </c>
    </row>
    <row r="3662" spans="1:2" x14ac:dyDescent="0.2">
      <c r="A3662" t="str">
        <f>"CPLX1"</f>
        <v>CPLX1</v>
      </c>
      <c r="B3662" t="s">
        <v>2</v>
      </c>
    </row>
    <row r="3663" spans="1:2" x14ac:dyDescent="0.2">
      <c r="A3663" t="str">
        <f>"CPLX2"</f>
        <v>CPLX2</v>
      </c>
      <c r="B3663" t="s">
        <v>2</v>
      </c>
    </row>
    <row r="3664" spans="1:2" x14ac:dyDescent="0.2">
      <c r="A3664" t="str">
        <f>"CPLX3"</f>
        <v>CPLX3</v>
      </c>
      <c r="B3664" t="s">
        <v>6</v>
      </c>
    </row>
    <row r="3665" spans="1:2" x14ac:dyDescent="0.2">
      <c r="A3665" t="str">
        <f>"CPLX4"</f>
        <v>CPLX4</v>
      </c>
      <c r="B3665" t="s">
        <v>2</v>
      </c>
    </row>
    <row r="3666" spans="1:2" x14ac:dyDescent="0.2">
      <c r="A3666" t="str">
        <f>"CPM"</f>
        <v>CPM</v>
      </c>
      <c r="B3666" t="s">
        <v>2</v>
      </c>
    </row>
    <row r="3667" spans="1:2" x14ac:dyDescent="0.2">
      <c r="A3667" t="str">
        <f>"CPN1"</f>
        <v>CPN1</v>
      </c>
      <c r="B3667" t="s">
        <v>2</v>
      </c>
    </row>
    <row r="3668" spans="1:2" x14ac:dyDescent="0.2">
      <c r="A3668" t="str">
        <f>"CPN2"</f>
        <v>CPN2</v>
      </c>
      <c r="B3668" t="s">
        <v>2</v>
      </c>
    </row>
    <row r="3669" spans="1:2" x14ac:dyDescent="0.2">
      <c r="A3669" t="str">
        <f>"CPNE1"</f>
        <v>CPNE1</v>
      </c>
      <c r="B3669" t="s">
        <v>6</v>
      </c>
    </row>
    <row r="3670" spans="1:2" x14ac:dyDescent="0.2">
      <c r="A3670" t="str">
        <f>"CPNE2"</f>
        <v>CPNE2</v>
      </c>
      <c r="B3670" t="s">
        <v>6</v>
      </c>
    </row>
    <row r="3671" spans="1:2" x14ac:dyDescent="0.2">
      <c r="A3671" t="str">
        <f>"CPNE3"</f>
        <v>CPNE3</v>
      </c>
      <c r="B3671" t="s">
        <v>6</v>
      </c>
    </row>
    <row r="3672" spans="1:2" x14ac:dyDescent="0.2">
      <c r="A3672" t="str">
        <f>"CPNE4"</f>
        <v>CPNE4</v>
      </c>
      <c r="B3672" t="s">
        <v>6</v>
      </c>
    </row>
    <row r="3673" spans="1:2" x14ac:dyDescent="0.2">
      <c r="A3673" t="str">
        <f>"CPNE5"</f>
        <v>CPNE5</v>
      </c>
      <c r="B3673" t="s">
        <v>4</v>
      </c>
    </row>
    <row r="3674" spans="1:2" x14ac:dyDescent="0.2">
      <c r="A3674" t="str">
        <f>"CPNE6"</f>
        <v>CPNE6</v>
      </c>
      <c r="B3674" t="s">
        <v>6</v>
      </c>
    </row>
    <row r="3675" spans="1:2" x14ac:dyDescent="0.2">
      <c r="A3675" t="str">
        <f>"CPNE7"</f>
        <v>CPNE7</v>
      </c>
      <c r="B3675" t="s">
        <v>2</v>
      </c>
    </row>
    <row r="3676" spans="1:2" x14ac:dyDescent="0.2">
      <c r="A3676" t="str">
        <f>"CPNE8"</f>
        <v>CPNE8</v>
      </c>
      <c r="B3676" t="s">
        <v>3</v>
      </c>
    </row>
    <row r="3677" spans="1:2" x14ac:dyDescent="0.2">
      <c r="A3677" t="str">
        <f>"CPNE9"</f>
        <v>CPNE9</v>
      </c>
      <c r="B3677" t="s">
        <v>2</v>
      </c>
    </row>
    <row r="3678" spans="1:2" x14ac:dyDescent="0.2">
      <c r="A3678" t="str">
        <f>"CPO"</f>
        <v>CPO</v>
      </c>
      <c r="B3678" t="s">
        <v>7</v>
      </c>
    </row>
    <row r="3679" spans="1:2" x14ac:dyDescent="0.2">
      <c r="A3679" t="str">
        <f>"CPOX"</f>
        <v>CPOX</v>
      </c>
      <c r="B3679" t="s">
        <v>6</v>
      </c>
    </row>
    <row r="3680" spans="1:2" x14ac:dyDescent="0.2">
      <c r="A3680" t="str">
        <f>"CPPED1"</f>
        <v>CPPED1</v>
      </c>
      <c r="B3680" t="s">
        <v>4</v>
      </c>
    </row>
    <row r="3681" spans="1:2" x14ac:dyDescent="0.2">
      <c r="A3681" t="str">
        <f>"CPQ"</f>
        <v>CPQ</v>
      </c>
      <c r="B3681" t="s">
        <v>2</v>
      </c>
    </row>
    <row r="3682" spans="1:2" x14ac:dyDescent="0.2">
      <c r="A3682" t="str">
        <f>"CPS1"</f>
        <v>CPS1</v>
      </c>
      <c r="B3682" t="s">
        <v>7</v>
      </c>
    </row>
    <row r="3683" spans="1:2" x14ac:dyDescent="0.2">
      <c r="A3683" t="str">
        <f>"CPSF1"</f>
        <v>CPSF1</v>
      </c>
      <c r="B3683" t="s">
        <v>6</v>
      </c>
    </row>
    <row r="3684" spans="1:2" x14ac:dyDescent="0.2">
      <c r="A3684" t="str">
        <f>"CPSF2"</f>
        <v>CPSF2</v>
      </c>
      <c r="B3684" t="s">
        <v>8</v>
      </c>
    </row>
    <row r="3685" spans="1:2" x14ac:dyDescent="0.2">
      <c r="A3685" t="str">
        <f>"CPSF3"</f>
        <v>CPSF3</v>
      </c>
      <c r="B3685" t="s">
        <v>8</v>
      </c>
    </row>
    <row r="3686" spans="1:2" x14ac:dyDescent="0.2">
      <c r="A3686" t="str">
        <f>"CPSF3L"</f>
        <v>CPSF3L</v>
      </c>
      <c r="B3686" t="s">
        <v>4</v>
      </c>
    </row>
    <row r="3687" spans="1:2" x14ac:dyDescent="0.2">
      <c r="A3687" t="str">
        <f>"CPSF4"</f>
        <v>CPSF4</v>
      </c>
      <c r="B3687" t="s">
        <v>6</v>
      </c>
    </row>
    <row r="3688" spans="1:2" x14ac:dyDescent="0.2">
      <c r="A3688" t="str">
        <f>"CPSF4L"</f>
        <v>CPSF4L</v>
      </c>
      <c r="B3688" t="s">
        <v>8</v>
      </c>
    </row>
    <row r="3689" spans="1:2" x14ac:dyDescent="0.2">
      <c r="A3689" t="str">
        <f>"CPSF6"</f>
        <v>CPSF6</v>
      </c>
      <c r="B3689" t="s">
        <v>8</v>
      </c>
    </row>
    <row r="3690" spans="1:2" x14ac:dyDescent="0.2">
      <c r="A3690" t="str">
        <f>"CPSF7"</f>
        <v>CPSF7</v>
      </c>
      <c r="B3690" t="s">
        <v>8</v>
      </c>
    </row>
    <row r="3691" spans="1:2" x14ac:dyDescent="0.2">
      <c r="A3691" t="str">
        <f>"CPT1A"</f>
        <v>CPT1A</v>
      </c>
      <c r="B3691" t="s">
        <v>3</v>
      </c>
    </row>
    <row r="3692" spans="1:2" x14ac:dyDescent="0.2">
      <c r="A3692" t="str">
        <f>"CPT1B"</f>
        <v>CPT1B</v>
      </c>
      <c r="B3692" t="s">
        <v>3</v>
      </c>
    </row>
    <row r="3693" spans="1:2" x14ac:dyDescent="0.2">
      <c r="A3693" t="str">
        <f>"CPT1C"</f>
        <v>CPT1C</v>
      </c>
      <c r="B3693" t="s">
        <v>2</v>
      </c>
    </row>
    <row r="3694" spans="1:2" x14ac:dyDescent="0.2">
      <c r="A3694" t="str">
        <f>"CPT2"</f>
        <v>CPT2</v>
      </c>
      <c r="B3694" t="s">
        <v>7</v>
      </c>
    </row>
    <row r="3695" spans="1:2" x14ac:dyDescent="0.2">
      <c r="A3695" t="str">
        <f>"CPVL"</f>
        <v>CPVL</v>
      </c>
      <c r="B3695" t="s">
        <v>2</v>
      </c>
    </row>
    <row r="3696" spans="1:2" x14ac:dyDescent="0.2">
      <c r="A3696" t="str">
        <f>"CPXCR1"</f>
        <v>CPXCR1</v>
      </c>
      <c r="B3696" t="s">
        <v>8</v>
      </c>
    </row>
    <row r="3697" spans="1:2" x14ac:dyDescent="0.2">
      <c r="A3697" t="str">
        <f>"CPXM1"</f>
        <v>CPXM1</v>
      </c>
      <c r="B3697" t="s">
        <v>2</v>
      </c>
    </row>
    <row r="3698" spans="1:2" x14ac:dyDescent="0.2">
      <c r="A3698" t="str">
        <f>"CPXM2"</f>
        <v>CPXM2</v>
      </c>
      <c r="B3698" t="s">
        <v>2</v>
      </c>
    </row>
    <row r="3699" spans="1:2" x14ac:dyDescent="0.2">
      <c r="A3699" t="str">
        <f>"CPZ"</f>
        <v>CPZ</v>
      </c>
      <c r="B3699" t="s">
        <v>2</v>
      </c>
    </row>
    <row r="3700" spans="1:2" x14ac:dyDescent="0.2">
      <c r="A3700" t="str">
        <f>"CR1"</f>
        <v>CR1</v>
      </c>
      <c r="B3700" t="s">
        <v>5</v>
      </c>
    </row>
    <row r="3701" spans="1:2" x14ac:dyDescent="0.2">
      <c r="A3701" t="str">
        <f>"CR1L"</f>
        <v>CR1L</v>
      </c>
      <c r="B3701" t="s">
        <v>2</v>
      </c>
    </row>
    <row r="3702" spans="1:2" x14ac:dyDescent="0.2">
      <c r="A3702" t="str">
        <f>"CR2"</f>
        <v>CR2</v>
      </c>
      <c r="B3702" t="s">
        <v>5</v>
      </c>
    </row>
    <row r="3703" spans="1:2" x14ac:dyDescent="0.2">
      <c r="A3703" t="str">
        <f>"CRABP1"</f>
        <v>CRABP1</v>
      </c>
      <c r="B3703" t="s">
        <v>2</v>
      </c>
    </row>
    <row r="3704" spans="1:2" x14ac:dyDescent="0.2">
      <c r="A3704" t="str">
        <f>"CRABP2"</f>
        <v>CRABP2</v>
      </c>
      <c r="B3704" t="s">
        <v>2</v>
      </c>
    </row>
    <row r="3705" spans="1:2" x14ac:dyDescent="0.2">
      <c r="A3705" t="str">
        <f>"CRADD"</f>
        <v>CRADD</v>
      </c>
      <c r="B3705" t="s">
        <v>2</v>
      </c>
    </row>
    <row r="3706" spans="1:2" x14ac:dyDescent="0.2">
      <c r="A3706" t="str">
        <f>"CRAMP1L"</f>
        <v>CRAMP1L</v>
      </c>
      <c r="B3706" t="s">
        <v>8</v>
      </c>
    </row>
    <row r="3707" spans="1:2" x14ac:dyDescent="0.2">
      <c r="A3707" t="str">
        <f>"CRAT"</f>
        <v>CRAT</v>
      </c>
      <c r="B3707" t="s">
        <v>7</v>
      </c>
    </row>
    <row r="3708" spans="1:2" x14ac:dyDescent="0.2">
      <c r="A3708" t="str">
        <f>"CRB1"</f>
        <v>CRB1</v>
      </c>
      <c r="B3708" t="s">
        <v>5</v>
      </c>
    </row>
    <row r="3709" spans="1:2" x14ac:dyDescent="0.2">
      <c r="A3709" t="str">
        <f>"CRB2"</f>
        <v>CRB2</v>
      </c>
      <c r="B3709" t="s">
        <v>7</v>
      </c>
    </row>
    <row r="3710" spans="1:2" x14ac:dyDescent="0.2">
      <c r="A3710" t="str">
        <f>"CRB3"</f>
        <v>CRB3</v>
      </c>
      <c r="B3710" t="s">
        <v>5</v>
      </c>
    </row>
    <row r="3711" spans="1:2" x14ac:dyDescent="0.2">
      <c r="A3711" t="str">
        <f>"CRBN"</f>
        <v>CRBN</v>
      </c>
      <c r="B3711" t="s">
        <v>2</v>
      </c>
    </row>
    <row r="3712" spans="1:2" x14ac:dyDescent="0.2">
      <c r="A3712" t="str">
        <f>"CRCP"</f>
        <v>CRCP</v>
      </c>
      <c r="B3712" t="s">
        <v>2</v>
      </c>
    </row>
    <row r="3713" spans="1:2" x14ac:dyDescent="0.2">
      <c r="A3713" t="str">
        <f>"CRCT1"</f>
        <v>CRCT1</v>
      </c>
      <c r="B3713" t="s">
        <v>4</v>
      </c>
    </row>
    <row r="3714" spans="1:2" x14ac:dyDescent="0.2">
      <c r="A3714" t="str">
        <f>"CREB1"</f>
        <v>CREB1</v>
      </c>
      <c r="B3714" t="s">
        <v>3</v>
      </c>
    </row>
    <row r="3715" spans="1:2" x14ac:dyDescent="0.2">
      <c r="A3715" t="str">
        <f>"CREB3"</f>
        <v>CREB3</v>
      </c>
      <c r="B3715" t="s">
        <v>2</v>
      </c>
    </row>
    <row r="3716" spans="1:2" x14ac:dyDescent="0.2">
      <c r="A3716" t="str">
        <f>"CREB3L1"</f>
        <v>CREB3L1</v>
      </c>
      <c r="B3716" t="s">
        <v>6</v>
      </c>
    </row>
    <row r="3717" spans="1:2" x14ac:dyDescent="0.2">
      <c r="A3717" t="str">
        <f>"CREB3L2"</f>
        <v>CREB3L2</v>
      </c>
      <c r="B3717" t="s">
        <v>2</v>
      </c>
    </row>
    <row r="3718" spans="1:2" x14ac:dyDescent="0.2">
      <c r="A3718" t="str">
        <f>"CREB3L3"</f>
        <v>CREB3L3</v>
      </c>
      <c r="B3718" t="s">
        <v>6</v>
      </c>
    </row>
    <row r="3719" spans="1:2" x14ac:dyDescent="0.2">
      <c r="A3719" t="str">
        <f>"CREB3L4"</f>
        <v>CREB3L4</v>
      </c>
      <c r="B3719" t="s">
        <v>2</v>
      </c>
    </row>
    <row r="3720" spans="1:2" x14ac:dyDescent="0.2">
      <c r="A3720" t="str">
        <f>"CREB5"</f>
        <v>CREB5</v>
      </c>
      <c r="B3720" t="s">
        <v>8</v>
      </c>
    </row>
    <row r="3721" spans="1:2" x14ac:dyDescent="0.2">
      <c r="A3721" t="str">
        <f>"CREBBP"</f>
        <v>CREBBP</v>
      </c>
      <c r="B3721" t="s">
        <v>3</v>
      </c>
    </row>
    <row r="3722" spans="1:2" x14ac:dyDescent="0.2">
      <c r="A3722" t="str">
        <f>"CREBL2"</f>
        <v>CREBL2</v>
      </c>
      <c r="B3722" t="s">
        <v>8</v>
      </c>
    </row>
    <row r="3723" spans="1:2" x14ac:dyDescent="0.2">
      <c r="A3723" t="str">
        <f>"CREBRF"</f>
        <v>CREBRF</v>
      </c>
      <c r="B3723" t="s">
        <v>8</v>
      </c>
    </row>
    <row r="3724" spans="1:2" x14ac:dyDescent="0.2">
      <c r="A3724" t="str">
        <f>"CREBZF"</f>
        <v>CREBZF</v>
      </c>
      <c r="B3724" t="s">
        <v>8</v>
      </c>
    </row>
    <row r="3725" spans="1:2" x14ac:dyDescent="0.2">
      <c r="A3725" t="str">
        <f>"CREG1"</f>
        <v>CREG1</v>
      </c>
      <c r="B3725" t="s">
        <v>8</v>
      </c>
    </row>
    <row r="3726" spans="1:2" x14ac:dyDescent="0.2">
      <c r="A3726" t="str">
        <f>"CREG2"</f>
        <v>CREG2</v>
      </c>
      <c r="B3726" t="s">
        <v>6</v>
      </c>
    </row>
    <row r="3727" spans="1:2" x14ac:dyDescent="0.2">
      <c r="A3727" t="str">
        <f>"CRELD1"</f>
        <v>CRELD1</v>
      </c>
      <c r="B3727" t="s">
        <v>5</v>
      </c>
    </row>
    <row r="3728" spans="1:2" x14ac:dyDescent="0.2">
      <c r="A3728" t="str">
        <f>"CRELD2"</f>
        <v>CRELD2</v>
      </c>
      <c r="B3728" t="s">
        <v>2</v>
      </c>
    </row>
    <row r="3729" spans="1:2" x14ac:dyDescent="0.2">
      <c r="A3729" t="str">
        <f>"CREM"</f>
        <v>CREM</v>
      </c>
      <c r="B3729" t="s">
        <v>8</v>
      </c>
    </row>
    <row r="3730" spans="1:2" x14ac:dyDescent="0.2">
      <c r="A3730" t="str">
        <f>"CRH"</f>
        <v>CRH</v>
      </c>
      <c r="B3730" t="s">
        <v>7</v>
      </c>
    </row>
    <row r="3731" spans="1:2" x14ac:dyDescent="0.2">
      <c r="A3731" t="str">
        <f>"CRHBP"</f>
        <v>CRHBP</v>
      </c>
      <c r="B3731" t="s">
        <v>4</v>
      </c>
    </row>
    <row r="3732" spans="1:2" x14ac:dyDescent="0.2">
      <c r="A3732" t="str">
        <f>"CRHR1"</f>
        <v>CRHR1</v>
      </c>
      <c r="B3732" t="s">
        <v>5</v>
      </c>
    </row>
    <row r="3733" spans="1:2" x14ac:dyDescent="0.2">
      <c r="A3733" t="str">
        <f>"CRHR2"</f>
        <v>CRHR2</v>
      </c>
      <c r="B3733" t="s">
        <v>5</v>
      </c>
    </row>
    <row r="3734" spans="1:2" x14ac:dyDescent="0.2">
      <c r="A3734" t="str">
        <f>"CRIM1"</f>
        <v>CRIM1</v>
      </c>
      <c r="B3734" t="s">
        <v>2</v>
      </c>
    </row>
    <row r="3735" spans="1:2" x14ac:dyDescent="0.2">
      <c r="A3735" t="str">
        <f>"CRIP1"</f>
        <v>CRIP1</v>
      </c>
      <c r="B3735" t="s">
        <v>4</v>
      </c>
    </row>
    <row r="3736" spans="1:2" x14ac:dyDescent="0.2">
      <c r="A3736" t="str">
        <f>"CRIP2"</f>
        <v>CRIP2</v>
      </c>
      <c r="B3736" t="s">
        <v>2</v>
      </c>
    </row>
    <row r="3737" spans="1:2" x14ac:dyDescent="0.2">
      <c r="A3737" t="str">
        <f>"CRIP3"</f>
        <v>CRIP3</v>
      </c>
      <c r="B3737" t="s">
        <v>4</v>
      </c>
    </row>
    <row r="3738" spans="1:2" x14ac:dyDescent="0.2">
      <c r="A3738" t="str">
        <f>"CRIPAK"</f>
        <v>CRIPAK</v>
      </c>
      <c r="B3738" t="s">
        <v>6</v>
      </c>
    </row>
    <row r="3739" spans="1:2" x14ac:dyDescent="0.2">
      <c r="A3739" t="str">
        <f>"CRIPT"</f>
        <v>CRIPT</v>
      </c>
      <c r="B3739" t="s">
        <v>6</v>
      </c>
    </row>
    <row r="3740" spans="1:2" x14ac:dyDescent="0.2">
      <c r="A3740" t="str">
        <f>"CRISP1"</f>
        <v>CRISP1</v>
      </c>
      <c r="B3740" t="s">
        <v>4</v>
      </c>
    </row>
    <row r="3741" spans="1:2" x14ac:dyDescent="0.2">
      <c r="A3741" t="str">
        <f>"CRISP2"</f>
        <v>CRISP2</v>
      </c>
      <c r="B3741" t="s">
        <v>4</v>
      </c>
    </row>
    <row r="3742" spans="1:2" x14ac:dyDescent="0.2">
      <c r="A3742" t="str">
        <f>"CRISP3"</f>
        <v>CRISP3</v>
      </c>
      <c r="B3742" t="s">
        <v>4</v>
      </c>
    </row>
    <row r="3743" spans="1:2" x14ac:dyDescent="0.2">
      <c r="A3743" t="str">
        <f>"CRISPLD1"</f>
        <v>CRISPLD1</v>
      </c>
      <c r="B3743" t="s">
        <v>3</v>
      </c>
    </row>
    <row r="3744" spans="1:2" x14ac:dyDescent="0.2">
      <c r="A3744" t="str">
        <f>"CRISPLD2"</f>
        <v>CRISPLD2</v>
      </c>
      <c r="B3744" t="s">
        <v>2</v>
      </c>
    </row>
    <row r="3745" spans="1:2" x14ac:dyDescent="0.2">
      <c r="A3745" t="str">
        <f>"CRK"</f>
        <v>CRK</v>
      </c>
      <c r="B3745" t="s">
        <v>3</v>
      </c>
    </row>
    <row r="3746" spans="1:2" x14ac:dyDescent="0.2">
      <c r="A3746" t="str">
        <f>"CRKL"</f>
        <v>CRKL</v>
      </c>
      <c r="B3746" t="s">
        <v>3</v>
      </c>
    </row>
    <row r="3747" spans="1:2" x14ac:dyDescent="0.2">
      <c r="A3747" t="str">
        <f>"CRLF1"</f>
        <v>CRLF1</v>
      </c>
      <c r="B3747" t="s">
        <v>5</v>
      </c>
    </row>
    <row r="3748" spans="1:2" x14ac:dyDescent="0.2">
      <c r="A3748" t="str">
        <f>"CRLF2"</f>
        <v>CRLF2</v>
      </c>
      <c r="B3748" t="s">
        <v>5</v>
      </c>
    </row>
    <row r="3749" spans="1:2" x14ac:dyDescent="0.2">
      <c r="A3749" t="str">
        <f>"CRLF3"</f>
        <v>CRLF3</v>
      </c>
      <c r="B3749" t="s">
        <v>4</v>
      </c>
    </row>
    <row r="3750" spans="1:2" x14ac:dyDescent="0.2">
      <c r="A3750" t="str">
        <f>"CRLS1"</f>
        <v>CRLS1</v>
      </c>
      <c r="B3750" t="s">
        <v>6</v>
      </c>
    </row>
    <row r="3751" spans="1:2" x14ac:dyDescent="0.2">
      <c r="A3751" t="str">
        <f>"CRMP1"</f>
        <v>CRMP1</v>
      </c>
      <c r="B3751" t="s">
        <v>4</v>
      </c>
    </row>
    <row r="3752" spans="1:2" x14ac:dyDescent="0.2">
      <c r="A3752" t="str">
        <f>"CRNKL1"</f>
        <v>CRNKL1</v>
      </c>
      <c r="B3752" t="s">
        <v>3</v>
      </c>
    </row>
    <row r="3753" spans="1:2" x14ac:dyDescent="0.2">
      <c r="A3753" t="str">
        <f>"CRNN"</f>
        <v>CRNN</v>
      </c>
      <c r="B3753" t="s">
        <v>4</v>
      </c>
    </row>
    <row r="3754" spans="1:2" x14ac:dyDescent="0.2">
      <c r="A3754" t="str">
        <f>"CROCC"</f>
        <v>CROCC</v>
      </c>
      <c r="B3754" t="s">
        <v>3</v>
      </c>
    </row>
    <row r="3755" spans="1:2" x14ac:dyDescent="0.2">
      <c r="A3755" t="str">
        <f>"CROT"</f>
        <v>CROT</v>
      </c>
      <c r="B3755" t="s">
        <v>7</v>
      </c>
    </row>
    <row r="3756" spans="1:2" x14ac:dyDescent="0.2">
      <c r="A3756" t="str">
        <f>"CRP"</f>
        <v>CRP</v>
      </c>
      <c r="B3756" t="s">
        <v>7</v>
      </c>
    </row>
    <row r="3757" spans="1:2" x14ac:dyDescent="0.2">
      <c r="A3757" t="str">
        <f>"CRTAC1"</f>
        <v>CRTAC1</v>
      </c>
      <c r="B3757" t="s">
        <v>4</v>
      </c>
    </row>
    <row r="3758" spans="1:2" x14ac:dyDescent="0.2">
      <c r="A3758" t="str">
        <f>"CRTAM"</f>
        <v>CRTAM</v>
      </c>
      <c r="B3758" t="s">
        <v>5</v>
      </c>
    </row>
    <row r="3759" spans="1:2" x14ac:dyDescent="0.2">
      <c r="A3759" t="str">
        <f>"CRTAP"</f>
        <v>CRTAP</v>
      </c>
      <c r="B3759" t="s">
        <v>4</v>
      </c>
    </row>
    <row r="3760" spans="1:2" x14ac:dyDescent="0.2">
      <c r="A3760" t="str">
        <f>"CRTC1"</f>
        <v>CRTC1</v>
      </c>
      <c r="B3760" t="s">
        <v>3</v>
      </c>
    </row>
    <row r="3761" spans="1:2" x14ac:dyDescent="0.2">
      <c r="A3761" t="str">
        <f>"CRTC2"</f>
        <v>CRTC2</v>
      </c>
      <c r="B3761" t="s">
        <v>4</v>
      </c>
    </row>
    <row r="3762" spans="1:2" x14ac:dyDescent="0.2">
      <c r="A3762" t="str">
        <f>"CRTC3"</f>
        <v>CRTC3</v>
      </c>
      <c r="B3762" t="s">
        <v>4</v>
      </c>
    </row>
    <row r="3763" spans="1:2" x14ac:dyDescent="0.2">
      <c r="A3763" t="str">
        <f>"CRX"</f>
        <v>CRX</v>
      </c>
      <c r="B3763" t="s">
        <v>2</v>
      </c>
    </row>
    <row r="3764" spans="1:2" x14ac:dyDescent="0.2">
      <c r="A3764" t="str">
        <f>"CRY1"</f>
        <v>CRY1</v>
      </c>
      <c r="B3764" t="s">
        <v>6</v>
      </c>
    </row>
    <row r="3765" spans="1:2" x14ac:dyDescent="0.2">
      <c r="A3765" t="str">
        <f>"CRY2"</f>
        <v>CRY2</v>
      </c>
      <c r="B3765" t="s">
        <v>6</v>
      </c>
    </row>
    <row r="3766" spans="1:2" x14ac:dyDescent="0.2">
      <c r="A3766" t="str">
        <f>"CRYAA"</f>
        <v>CRYAA</v>
      </c>
      <c r="B3766" t="s">
        <v>2</v>
      </c>
    </row>
    <row r="3767" spans="1:2" x14ac:dyDescent="0.2">
      <c r="A3767" t="str">
        <f>"CRYAB"</f>
        <v>CRYAB</v>
      </c>
      <c r="B3767" t="s">
        <v>2</v>
      </c>
    </row>
    <row r="3768" spans="1:2" x14ac:dyDescent="0.2">
      <c r="A3768" t="str">
        <f>"CRYBA1"</f>
        <v>CRYBA1</v>
      </c>
      <c r="B3768" t="s">
        <v>2</v>
      </c>
    </row>
    <row r="3769" spans="1:2" x14ac:dyDescent="0.2">
      <c r="A3769" t="str">
        <f>"CRYBA2"</f>
        <v>CRYBA2</v>
      </c>
      <c r="B3769" t="s">
        <v>2</v>
      </c>
    </row>
    <row r="3770" spans="1:2" x14ac:dyDescent="0.2">
      <c r="A3770" t="str">
        <f>"CRYBA4"</f>
        <v>CRYBA4</v>
      </c>
      <c r="B3770" t="s">
        <v>2</v>
      </c>
    </row>
    <row r="3771" spans="1:2" x14ac:dyDescent="0.2">
      <c r="A3771" t="str">
        <f>"CRYBB1"</f>
        <v>CRYBB1</v>
      </c>
      <c r="B3771" t="s">
        <v>7</v>
      </c>
    </row>
    <row r="3772" spans="1:2" x14ac:dyDescent="0.2">
      <c r="A3772" t="str">
        <f>"CRYBB2"</f>
        <v>CRYBB2</v>
      </c>
      <c r="B3772" t="s">
        <v>2</v>
      </c>
    </row>
    <row r="3773" spans="1:2" x14ac:dyDescent="0.2">
      <c r="A3773" t="str">
        <f>"CRYBB3"</f>
        <v>CRYBB3</v>
      </c>
      <c r="B3773" t="s">
        <v>2</v>
      </c>
    </row>
    <row r="3774" spans="1:2" x14ac:dyDescent="0.2">
      <c r="A3774" t="str">
        <f>"CRYBG3"</f>
        <v>CRYBG3</v>
      </c>
      <c r="B3774" t="s">
        <v>4</v>
      </c>
    </row>
    <row r="3775" spans="1:2" x14ac:dyDescent="0.2">
      <c r="A3775" t="str">
        <f>"CRYGA"</f>
        <v>CRYGA</v>
      </c>
      <c r="B3775" t="s">
        <v>2</v>
      </c>
    </row>
    <row r="3776" spans="1:2" x14ac:dyDescent="0.2">
      <c r="A3776" t="str">
        <f>"CRYGB"</f>
        <v>CRYGB</v>
      </c>
      <c r="B3776" t="s">
        <v>2</v>
      </c>
    </row>
    <row r="3777" spans="1:2" x14ac:dyDescent="0.2">
      <c r="A3777" t="str">
        <f>"CRYGC"</f>
        <v>CRYGC</v>
      </c>
      <c r="B3777" t="s">
        <v>2</v>
      </c>
    </row>
    <row r="3778" spans="1:2" x14ac:dyDescent="0.2">
      <c r="A3778" t="str">
        <f>"CRYGD"</f>
        <v>CRYGD</v>
      </c>
      <c r="B3778" t="s">
        <v>2</v>
      </c>
    </row>
    <row r="3779" spans="1:2" x14ac:dyDescent="0.2">
      <c r="A3779" t="str">
        <f>"CRYGN"</f>
        <v>CRYGN</v>
      </c>
      <c r="B3779" t="s">
        <v>2</v>
      </c>
    </row>
    <row r="3780" spans="1:2" x14ac:dyDescent="0.2">
      <c r="A3780" t="str">
        <f>"CRYGS"</f>
        <v>CRYGS</v>
      </c>
      <c r="B3780" t="s">
        <v>2</v>
      </c>
    </row>
    <row r="3781" spans="1:2" x14ac:dyDescent="0.2">
      <c r="A3781" t="str">
        <f>"CRYL1"</f>
        <v>CRYL1</v>
      </c>
      <c r="B3781" t="s">
        <v>3</v>
      </c>
    </row>
    <row r="3782" spans="1:2" x14ac:dyDescent="0.2">
      <c r="A3782" t="str">
        <f>"CRYM"</f>
        <v>CRYM</v>
      </c>
      <c r="B3782" t="s">
        <v>6</v>
      </c>
    </row>
    <row r="3783" spans="1:2" x14ac:dyDescent="0.2">
      <c r="A3783" t="str">
        <f>"CRYZ"</f>
        <v>CRYZ</v>
      </c>
      <c r="B3783" t="s">
        <v>7</v>
      </c>
    </row>
    <row r="3784" spans="1:2" x14ac:dyDescent="0.2">
      <c r="A3784" t="str">
        <f>"CRYZL1"</f>
        <v>CRYZL1</v>
      </c>
      <c r="B3784" t="s">
        <v>4</v>
      </c>
    </row>
    <row r="3785" spans="1:2" x14ac:dyDescent="0.2">
      <c r="A3785" t="str">
        <f>"CS"</f>
        <v>CS</v>
      </c>
      <c r="B3785" t="s">
        <v>7</v>
      </c>
    </row>
    <row r="3786" spans="1:2" x14ac:dyDescent="0.2">
      <c r="A3786" t="str">
        <f>"CSAD"</f>
        <v>CSAD</v>
      </c>
      <c r="B3786" t="s">
        <v>7</v>
      </c>
    </row>
    <row r="3787" spans="1:2" x14ac:dyDescent="0.2">
      <c r="A3787" t="str">
        <f>"CSAG1"</f>
        <v>CSAG1</v>
      </c>
      <c r="B3787" t="s">
        <v>4</v>
      </c>
    </row>
    <row r="3788" spans="1:2" x14ac:dyDescent="0.2">
      <c r="A3788" t="str">
        <f>"CSAG2"</f>
        <v>CSAG2</v>
      </c>
      <c r="B3788" t="s">
        <v>3</v>
      </c>
    </row>
    <row r="3789" spans="1:2" x14ac:dyDescent="0.2">
      <c r="A3789" t="str">
        <f>"CSAG3"</f>
        <v>CSAG3</v>
      </c>
      <c r="B3789" t="s">
        <v>4</v>
      </c>
    </row>
    <row r="3790" spans="1:2" x14ac:dyDescent="0.2">
      <c r="A3790" t="str">
        <f>"CSDC2"</f>
        <v>CSDC2</v>
      </c>
      <c r="B3790" t="s">
        <v>8</v>
      </c>
    </row>
    <row r="3791" spans="1:2" x14ac:dyDescent="0.2">
      <c r="A3791" t="str">
        <f>"CSDE1"</f>
        <v>CSDE1</v>
      </c>
      <c r="B3791" t="s">
        <v>8</v>
      </c>
    </row>
    <row r="3792" spans="1:2" x14ac:dyDescent="0.2">
      <c r="A3792" t="str">
        <f>"CSE1L"</f>
        <v>CSE1L</v>
      </c>
      <c r="B3792" t="s">
        <v>2</v>
      </c>
    </row>
    <row r="3793" spans="1:2" x14ac:dyDescent="0.2">
      <c r="A3793" t="str">
        <f>"CSF1"</f>
        <v>CSF1</v>
      </c>
      <c r="B3793" t="s">
        <v>3</v>
      </c>
    </row>
    <row r="3794" spans="1:2" x14ac:dyDescent="0.2">
      <c r="A3794" t="str">
        <f>"CSF1R"</f>
        <v>CSF1R</v>
      </c>
      <c r="B3794" t="s">
        <v>7</v>
      </c>
    </row>
    <row r="3795" spans="1:2" x14ac:dyDescent="0.2">
      <c r="A3795" t="str">
        <f>"CSF2"</f>
        <v>CSF2</v>
      </c>
      <c r="B3795" t="s">
        <v>3</v>
      </c>
    </row>
    <row r="3796" spans="1:2" x14ac:dyDescent="0.2">
      <c r="A3796" t="str">
        <f>"CSF2RA"</f>
        <v>CSF2RA</v>
      </c>
      <c r="B3796" t="s">
        <v>7</v>
      </c>
    </row>
    <row r="3797" spans="1:2" x14ac:dyDescent="0.2">
      <c r="A3797" t="str">
        <f>"CSF2RB"</f>
        <v>CSF2RB</v>
      </c>
      <c r="B3797" t="s">
        <v>7</v>
      </c>
    </row>
    <row r="3798" spans="1:2" x14ac:dyDescent="0.2">
      <c r="A3798" t="str">
        <f>"CSF3"</f>
        <v>CSF3</v>
      </c>
      <c r="B3798" t="s">
        <v>3</v>
      </c>
    </row>
    <row r="3799" spans="1:2" x14ac:dyDescent="0.2">
      <c r="A3799" t="str">
        <f>"CSF3R"</f>
        <v>CSF3R</v>
      </c>
      <c r="B3799" t="s">
        <v>3</v>
      </c>
    </row>
    <row r="3800" spans="1:2" x14ac:dyDescent="0.2">
      <c r="A3800" t="str">
        <f>"CSGALNACT1"</f>
        <v>CSGALNACT1</v>
      </c>
      <c r="B3800" t="s">
        <v>6</v>
      </c>
    </row>
    <row r="3801" spans="1:2" x14ac:dyDescent="0.2">
      <c r="A3801" t="str">
        <f>"CSGALNACT2"</f>
        <v>CSGALNACT2</v>
      </c>
      <c r="B3801" t="s">
        <v>3</v>
      </c>
    </row>
    <row r="3802" spans="1:2" x14ac:dyDescent="0.2">
      <c r="A3802" t="str">
        <f>"CSH1"</f>
        <v>CSH1</v>
      </c>
      <c r="B3802" t="s">
        <v>4</v>
      </c>
    </row>
    <row r="3803" spans="1:2" x14ac:dyDescent="0.2">
      <c r="A3803" t="str">
        <f>"CSH2"</f>
        <v>CSH2</v>
      </c>
      <c r="B3803" t="s">
        <v>4</v>
      </c>
    </row>
    <row r="3804" spans="1:2" x14ac:dyDescent="0.2">
      <c r="A3804" t="str">
        <f>"CSHL1"</f>
        <v>CSHL1</v>
      </c>
      <c r="B3804" t="s">
        <v>4</v>
      </c>
    </row>
    <row r="3805" spans="1:2" x14ac:dyDescent="0.2">
      <c r="A3805" t="str">
        <f>"CSK"</f>
        <v>CSK</v>
      </c>
      <c r="B3805" t="s">
        <v>7</v>
      </c>
    </row>
    <row r="3806" spans="1:2" x14ac:dyDescent="0.2">
      <c r="A3806" t="str">
        <f>"CSMD1"</f>
        <v>CSMD1</v>
      </c>
      <c r="B3806" t="s">
        <v>6</v>
      </c>
    </row>
    <row r="3807" spans="1:2" x14ac:dyDescent="0.2">
      <c r="A3807" t="str">
        <f>"CSMD2"</f>
        <v>CSMD2</v>
      </c>
      <c r="B3807" t="s">
        <v>5</v>
      </c>
    </row>
    <row r="3808" spans="1:2" x14ac:dyDescent="0.2">
      <c r="A3808" t="str">
        <f>"CSMD3"</f>
        <v>CSMD3</v>
      </c>
      <c r="B3808" t="s">
        <v>3</v>
      </c>
    </row>
    <row r="3809" spans="1:2" x14ac:dyDescent="0.2">
      <c r="A3809" t="str">
        <f>"CSN1S1"</f>
        <v>CSN1S1</v>
      </c>
      <c r="B3809" t="s">
        <v>4</v>
      </c>
    </row>
    <row r="3810" spans="1:2" x14ac:dyDescent="0.2">
      <c r="A3810" t="str">
        <f>"CSN2"</f>
        <v>CSN2</v>
      </c>
      <c r="B3810" t="s">
        <v>4</v>
      </c>
    </row>
    <row r="3811" spans="1:2" x14ac:dyDescent="0.2">
      <c r="A3811" t="str">
        <f>"CSN3"</f>
        <v>CSN3</v>
      </c>
      <c r="B3811" t="s">
        <v>4</v>
      </c>
    </row>
    <row r="3812" spans="1:2" x14ac:dyDescent="0.2">
      <c r="A3812" t="str">
        <f>"CSNK1A1"</f>
        <v>CSNK1A1</v>
      </c>
      <c r="B3812" t="s">
        <v>7</v>
      </c>
    </row>
    <row r="3813" spans="1:2" x14ac:dyDescent="0.2">
      <c r="A3813" t="str">
        <f>"CSNK1A1L"</f>
        <v>CSNK1A1L</v>
      </c>
      <c r="B3813" t="s">
        <v>7</v>
      </c>
    </row>
    <row r="3814" spans="1:2" x14ac:dyDescent="0.2">
      <c r="A3814" t="str">
        <f>"CSNK1D"</f>
        <v>CSNK1D</v>
      </c>
      <c r="B3814" t="s">
        <v>7</v>
      </c>
    </row>
    <row r="3815" spans="1:2" x14ac:dyDescent="0.2">
      <c r="A3815" t="str">
        <f>"CSNK1E"</f>
        <v>CSNK1E</v>
      </c>
      <c r="B3815" t="s">
        <v>7</v>
      </c>
    </row>
    <row r="3816" spans="1:2" x14ac:dyDescent="0.2">
      <c r="A3816" t="str">
        <f>"CSNK1G1"</f>
        <v>CSNK1G1</v>
      </c>
      <c r="B3816" t="s">
        <v>7</v>
      </c>
    </row>
    <row r="3817" spans="1:2" x14ac:dyDescent="0.2">
      <c r="A3817" t="str">
        <f>"CSNK1G2"</f>
        <v>CSNK1G2</v>
      </c>
      <c r="B3817" t="s">
        <v>7</v>
      </c>
    </row>
    <row r="3818" spans="1:2" x14ac:dyDescent="0.2">
      <c r="A3818" t="str">
        <f>"CSNK1G3"</f>
        <v>CSNK1G3</v>
      </c>
      <c r="B3818" t="s">
        <v>7</v>
      </c>
    </row>
    <row r="3819" spans="1:2" x14ac:dyDescent="0.2">
      <c r="A3819" t="str">
        <f>"CSNK2A1"</f>
        <v>CSNK2A1</v>
      </c>
      <c r="B3819" t="s">
        <v>7</v>
      </c>
    </row>
    <row r="3820" spans="1:2" x14ac:dyDescent="0.2">
      <c r="A3820" t="str">
        <f>"CSNK2A2"</f>
        <v>CSNK2A2</v>
      </c>
      <c r="B3820" t="s">
        <v>7</v>
      </c>
    </row>
    <row r="3821" spans="1:2" x14ac:dyDescent="0.2">
      <c r="A3821" t="str">
        <f>"CSNK2A3"</f>
        <v>CSNK2A3</v>
      </c>
      <c r="B3821" t="s">
        <v>4</v>
      </c>
    </row>
    <row r="3822" spans="1:2" x14ac:dyDescent="0.2">
      <c r="A3822" t="str">
        <f>"CSNK2B"</f>
        <v>CSNK2B</v>
      </c>
      <c r="B3822" t="s">
        <v>7</v>
      </c>
    </row>
    <row r="3823" spans="1:2" x14ac:dyDescent="0.2">
      <c r="A3823" t="str">
        <f>"CSPG4"</f>
        <v>CSPG4</v>
      </c>
      <c r="B3823" t="s">
        <v>2</v>
      </c>
    </row>
    <row r="3824" spans="1:2" x14ac:dyDescent="0.2">
      <c r="A3824" t="str">
        <f>"CSPG5"</f>
        <v>CSPG5</v>
      </c>
      <c r="B3824" t="s">
        <v>2</v>
      </c>
    </row>
    <row r="3825" spans="1:2" x14ac:dyDescent="0.2">
      <c r="A3825" t="str">
        <f>"CSPP1"</f>
        <v>CSPP1</v>
      </c>
      <c r="B3825" t="s">
        <v>3</v>
      </c>
    </row>
    <row r="3826" spans="1:2" x14ac:dyDescent="0.2">
      <c r="A3826" t="str">
        <f>"CSRNP1"</f>
        <v>CSRNP1</v>
      </c>
      <c r="B3826" t="s">
        <v>3</v>
      </c>
    </row>
    <row r="3827" spans="1:2" x14ac:dyDescent="0.2">
      <c r="A3827" t="str">
        <f>"CSRNP2"</f>
        <v>CSRNP2</v>
      </c>
      <c r="B3827" t="s">
        <v>4</v>
      </c>
    </row>
    <row r="3828" spans="1:2" x14ac:dyDescent="0.2">
      <c r="A3828" t="str">
        <f>"CSRNP3"</f>
        <v>CSRNP3</v>
      </c>
      <c r="B3828" t="s">
        <v>4</v>
      </c>
    </row>
    <row r="3829" spans="1:2" x14ac:dyDescent="0.2">
      <c r="A3829" t="str">
        <f>"CSRP1"</f>
        <v>CSRP1</v>
      </c>
      <c r="B3829" t="s">
        <v>2</v>
      </c>
    </row>
    <row r="3830" spans="1:2" x14ac:dyDescent="0.2">
      <c r="A3830" t="str">
        <f>"CSRP2"</f>
        <v>CSRP2</v>
      </c>
      <c r="B3830" t="s">
        <v>4</v>
      </c>
    </row>
    <row r="3831" spans="1:2" x14ac:dyDescent="0.2">
      <c r="A3831" t="str">
        <f>"CSRP2BP"</f>
        <v>CSRP2BP</v>
      </c>
      <c r="B3831" t="s">
        <v>3</v>
      </c>
    </row>
    <row r="3832" spans="1:2" x14ac:dyDescent="0.2">
      <c r="A3832" t="str">
        <f>"CSRP3"</f>
        <v>CSRP3</v>
      </c>
      <c r="B3832" t="s">
        <v>6</v>
      </c>
    </row>
    <row r="3833" spans="1:2" x14ac:dyDescent="0.2">
      <c r="A3833" t="str">
        <f>"CST1"</f>
        <v>CST1</v>
      </c>
      <c r="B3833" t="s">
        <v>8</v>
      </c>
    </row>
    <row r="3834" spans="1:2" x14ac:dyDescent="0.2">
      <c r="A3834" t="str">
        <f>"CST11"</f>
        <v>CST11</v>
      </c>
      <c r="B3834" t="s">
        <v>4</v>
      </c>
    </row>
    <row r="3835" spans="1:2" x14ac:dyDescent="0.2">
      <c r="A3835" t="str">
        <f>"CST2"</f>
        <v>CST2</v>
      </c>
      <c r="B3835" t="s">
        <v>8</v>
      </c>
    </row>
    <row r="3836" spans="1:2" x14ac:dyDescent="0.2">
      <c r="A3836" t="str">
        <f>"CST3"</f>
        <v>CST3</v>
      </c>
      <c r="B3836" t="s">
        <v>3</v>
      </c>
    </row>
    <row r="3837" spans="1:2" x14ac:dyDescent="0.2">
      <c r="A3837" t="str">
        <f>"CST4"</f>
        <v>CST4</v>
      </c>
      <c r="B3837" t="s">
        <v>3</v>
      </c>
    </row>
    <row r="3838" spans="1:2" x14ac:dyDescent="0.2">
      <c r="A3838" t="str">
        <f>"CST5"</f>
        <v>CST5</v>
      </c>
      <c r="B3838" t="s">
        <v>3</v>
      </c>
    </row>
    <row r="3839" spans="1:2" x14ac:dyDescent="0.2">
      <c r="A3839" t="str">
        <f>"CST6"</f>
        <v>CST6</v>
      </c>
      <c r="B3839" t="s">
        <v>6</v>
      </c>
    </row>
    <row r="3840" spans="1:2" x14ac:dyDescent="0.2">
      <c r="A3840" t="str">
        <f>"CST7"</f>
        <v>CST7</v>
      </c>
      <c r="B3840" t="s">
        <v>3</v>
      </c>
    </row>
    <row r="3841" spans="1:2" x14ac:dyDescent="0.2">
      <c r="A3841" t="str">
        <f>"CST8"</f>
        <v>CST8</v>
      </c>
      <c r="B3841" t="s">
        <v>3</v>
      </c>
    </row>
    <row r="3842" spans="1:2" x14ac:dyDescent="0.2">
      <c r="A3842" t="str">
        <f>"CST9"</f>
        <v>CST9</v>
      </c>
      <c r="B3842" t="s">
        <v>4</v>
      </c>
    </row>
    <row r="3843" spans="1:2" x14ac:dyDescent="0.2">
      <c r="A3843" t="str">
        <f>"CST9L"</f>
        <v>CST9L</v>
      </c>
      <c r="B3843" t="s">
        <v>4</v>
      </c>
    </row>
    <row r="3844" spans="1:2" x14ac:dyDescent="0.2">
      <c r="A3844" t="str">
        <f>"CSTA"</f>
        <v>CSTA</v>
      </c>
      <c r="B3844" t="s">
        <v>3</v>
      </c>
    </row>
    <row r="3845" spans="1:2" x14ac:dyDescent="0.2">
      <c r="A3845" t="str">
        <f>"CSTB"</f>
        <v>CSTB</v>
      </c>
      <c r="B3845" t="s">
        <v>3</v>
      </c>
    </row>
    <row r="3846" spans="1:2" x14ac:dyDescent="0.2">
      <c r="A3846" t="str">
        <f>"CSTF1"</f>
        <v>CSTF1</v>
      </c>
      <c r="B3846" t="s">
        <v>8</v>
      </c>
    </row>
    <row r="3847" spans="1:2" x14ac:dyDescent="0.2">
      <c r="A3847" t="str">
        <f>"CSTF2"</f>
        <v>CSTF2</v>
      </c>
      <c r="B3847" t="s">
        <v>8</v>
      </c>
    </row>
    <row r="3848" spans="1:2" x14ac:dyDescent="0.2">
      <c r="A3848" t="str">
        <f>"CSTF2T"</f>
        <v>CSTF2T</v>
      </c>
      <c r="B3848" t="s">
        <v>8</v>
      </c>
    </row>
    <row r="3849" spans="1:2" x14ac:dyDescent="0.2">
      <c r="A3849" t="str">
        <f>"CSTF3"</f>
        <v>CSTF3</v>
      </c>
      <c r="B3849" t="s">
        <v>6</v>
      </c>
    </row>
    <row r="3850" spans="1:2" x14ac:dyDescent="0.2">
      <c r="A3850" t="str">
        <f>"CSTL1"</f>
        <v>CSTL1</v>
      </c>
      <c r="B3850" t="s">
        <v>4</v>
      </c>
    </row>
    <row r="3851" spans="1:2" x14ac:dyDescent="0.2">
      <c r="A3851" t="str">
        <f>"CT45A1"</f>
        <v>CT45A1</v>
      </c>
      <c r="B3851" t="s">
        <v>4</v>
      </c>
    </row>
    <row r="3852" spans="1:2" x14ac:dyDescent="0.2">
      <c r="A3852" t="str">
        <f>"CT45A3"</f>
        <v>CT45A3</v>
      </c>
      <c r="B3852" t="s">
        <v>4</v>
      </c>
    </row>
    <row r="3853" spans="1:2" x14ac:dyDescent="0.2">
      <c r="A3853" t="str">
        <f>"CT45A5"</f>
        <v>CT45A5</v>
      </c>
      <c r="B3853" t="s">
        <v>4</v>
      </c>
    </row>
    <row r="3854" spans="1:2" x14ac:dyDescent="0.2">
      <c r="A3854" t="str">
        <f>"CT47A7"</f>
        <v>CT47A7</v>
      </c>
      <c r="B3854" t="s">
        <v>4</v>
      </c>
    </row>
    <row r="3855" spans="1:2" x14ac:dyDescent="0.2">
      <c r="A3855" t="str">
        <f>"CT47B1"</f>
        <v>CT47B1</v>
      </c>
      <c r="B3855" t="s">
        <v>4</v>
      </c>
    </row>
    <row r="3856" spans="1:2" x14ac:dyDescent="0.2">
      <c r="A3856" t="str">
        <f>"CT62"</f>
        <v>CT62</v>
      </c>
      <c r="B3856" t="s">
        <v>4</v>
      </c>
    </row>
    <row r="3857" spans="1:2" x14ac:dyDescent="0.2">
      <c r="A3857" t="str">
        <f>"CTAG1A"</f>
        <v>CTAG1A</v>
      </c>
      <c r="B3857" t="s">
        <v>3</v>
      </c>
    </row>
    <row r="3858" spans="1:2" x14ac:dyDescent="0.2">
      <c r="A3858" t="str">
        <f>"CTAG1B"</f>
        <v>CTAG1B</v>
      </c>
      <c r="B3858" t="s">
        <v>3</v>
      </c>
    </row>
    <row r="3859" spans="1:2" x14ac:dyDescent="0.2">
      <c r="A3859" t="str">
        <f>"CTAG2"</f>
        <v>CTAG2</v>
      </c>
      <c r="B3859" t="s">
        <v>3</v>
      </c>
    </row>
    <row r="3860" spans="1:2" x14ac:dyDescent="0.2">
      <c r="A3860" t="str">
        <f>"CTAGE1"</f>
        <v>CTAGE1</v>
      </c>
      <c r="B3860" t="s">
        <v>5</v>
      </c>
    </row>
    <row r="3861" spans="1:2" x14ac:dyDescent="0.2">
      <c r="A3861" t="str">
        <f>"CTAGE5"</f>
        <v>CTAGE5</v>
      </c>
      <c r="B3861" t="s">
        <v>5</v>
      </c>
    </row>
    <row r="3862" spans="1:2" x14ac:dyDescent="0.2">
      <c r="A3862" t="str">
        <f>"CTBP1"</f>
        <v>CTBP1</v>
      </c>
      <c r="B3862" t="s">
        <v>3</v>
      </c>
    </row>
    <row r="3863" spans="1:2" x14ac:dyDescent="0.2">
      <c r="A3863" t="str">
        <f>"CTBP2"</f>
        <v>CTBP2</v>
      </c>
      <c r="B3863" t="s">
        <v>3</v>
      </c>
    </row>
    <row r="3864" spans="1:2" x14ac:dyDescent="0.2">
      <c r="A3864" t="str">
        <f>"CTBS"</f>
        <v>CTBS</v>
      </c>
      <c r="B3864" t="s">
        <v>2</v>
      </c>
    </row>
    <row r="3865" spans="1:2" x14ac:dyDescent="0.2">
      <c r="A3865" t="str">
        <f>"CTC1"</f>
        <v>CTC1</v>
      </c>
      <c r="B3865" t="s">
        <v>4</v>
      </c>
    </row>
    <row r="3866" spans="1:2" x14ac:dyDescent="0.2">
      <c r="A3866" t="str">
        <f>"CTCF"</f>
        <v>CTCF</v>
      </c>
      <c r="B3866" t="s">
        <v>3</v>
      </c>
    </row>
    <row r="3867" spans="1:2" x14ac:dyDescent="0.2">
      <c r="A3867" t="str">
        <f>"CTCFL"</f>
        <v>CTCFL</v>
      </c>
      <c r="B3867" t="s">
        <v>8</v>
      </c>
    </row>
    <row r="3868" spans="1:2" x14ac:dyDescent="0.2">
      <c r="A3868" t="str">
        <f>"CTDNEP1"</f>
        <v>CTDNEP1</v>
      </c>
      <c r="B3868" t="s">
        <v>7</v>
      </c>
    </row>
    <row r="3869" spans="1:2" x14ac:dyDescent="0.2">
      <c r="A3869" t="str">
        <f>"CTDP1"</f>
        <v>CTDP1</v>
      </c>
      <c r="B3869" t="s">
        <v>7</v>
      </c>
    </row>
    <row r="3870" spans="1:2" x14ac:dyDescent="0.2">
      <c r="A3870" t="str">
        <f>"CTDSP1"</f>
        <v>CTDSP1</v>
      </c>
      <c r="B3870" t="s">
        <v>7</v>
      </c>
    </row>
    <row r="3871" spans="1:2" x14ac:dyDescent="0.2">
      <c r="A3871" t="str">
        <f>"CTDSP2"</f>
        <v>CTDSP2</v>
      </c>
      <c r="B3871" t="s">
        <v>7</v>
      </c>
    </row>
    <row r="3872" spans="1:2" x14ac:dyDescent="0.2">
      <c r="A3872" t="str">
        <f>"CTDSPL"</f>
        <v>CTDSPL</v>
      </c>
      <c r="B3872" t="s">
        <v>7</v>
      </c>
    </row>
    <row r="3873" spans="1:2" x14ac:dyDescent="0.2">
      <c r="A3873" t="str">
        <f>"CTDSPL2"</f>
        <v>CTDSPL2</v>
      </c>
      <c r="B3873" t="s">
        <v>4</v>
      </c>
    </row>
    <row r="3874" spans="1:2" x14ac:dyDescent="0.2">
      <c r="A3874" t="str">
        <f>"CTF1"</f>
        <v>CTF1</v>
      </c>
      <c r="B3874" t="s">
        <v>4</v>
      </c>
    </row>
    <row r="3875" spans="1:2" x14ac:dyDescent="0.2">
      <c r="A3875" t="str">
        <f>"CTGF"</f>
        <v>CTGF</v>
      </c>
      <c r="B3875" t="s">
        <v>3</v>
      </c>
    </row>
    <row r="3876" spans="1:2" x14ac:dyDescent="0.2">
      <c r="A3876" t="str">
        <f>"CTH"</f>
        <v>CTH</v>
      </c>
      <c r="B3876" t="s">
        <v>7</v>
      </c>
    </row>
    <row r="3877" spans="1:2" x14ac:dyDescent="0.2">
      <c r="A3877" t="str">
        <f>"CTHRC1"</f>
        <v>CTHRC1</v>
      </c>
      <c r="B3877" t="s">
        <v>3</v>
      </c>
    </row>
    <row r="3878" spans="1:2" x14ac:dyDescent="0.2">
      <c r="A3878" t="str">
        <f>"CTIF"</f>
        <v>CTIF</v>
      </c>
      <c r="B3878" t="s">
        <v>8</v>
      </c>
    </row>
    <row r="3879" spans="1:2" x14ac:dyDescent="0.2">
      <c r="A3879" t="str">
        <f>"CTLA4"</f>
        <v>CTLA4</v>
      </c>
      <c r="B3879" t="s">
        <v>7</v>
      </c>
    </row>
    <row r="3880" spans="1:2" x14ac:dyDescent="0.2">
      <c r="A3880" t="str">
        <f>"CTNNA1"</f>
        <v>CTNNA1</v>
      </c>
      <c r="B3880" t="s">
        <v>3</v>
      </c>
    </row>
    <row r="3881" spans="1:2" x14ac:dyDescent="0.2">
      <c r="A3881" t="str">
        <f>"CTNNA2"</f>
        <v>CTNNA2</v>
      </c>
      <c r="B3881" t="s">
        <v>3</v>
      </c>
    </row>
    <row r="3882" spans="1:2" x14ac:dyDescent="0.2">
      <c r="A3882" t="str">
        <f>"CTNNA3"</f>
        <v>CTNNA3</v>
      </c>
      <c r="B3882" t="s">
        <v>3</v>
      </c>
    </row>
    <row r="3883" spans="1:2" x14ac:dyDescent="0.2">
      <c r="A3883" t="str">
        <f>"CTNNAL1"</f>
        <v>CTNNAL1</v>
      </c>
      <c r="B3883" t="s">
        <v>6</v>
      </c>
    </row>
    <row r="3884" spans="1:2" x14ac:dyDescent="0.2">
      <c r="A3884" t="str">
        <f>"CTNNB1"</f>
        <v>CTNNB1</v>
      </c>
      <c r="B3884" t="s">
        <v>3</v>
      </c>
    </row>
    <row r="3885" spans="1:2" x14ac:dyDescent="0.2">
      <c r="A3885" t="str">
        <f>"CTNNBIP1"</f>
        <v>CTNNBIP1</v>
      </c>
      <c r="B3885" t="s">
        <v>8</v>
      </c>
    </row>
    <row r="3886" spans="1:2" x14ac:dyDescent="0.2">
      <c r="A3886" t="str">
        <f>"CTNNBL1"</f>
        <v>CTNNBL1</v>
      </c>
      <c r="B3886" t="s">
        <v>4</v>
      </c>
    </row>
    <row r="3887" spans="1:2" x14ac:dyDescent="0.2">
      <c r="A3887" t="str">
        <f>"CTNND1"</f>
        <v>CTNND1</v>
      </c>
      <c r="B3887" t="s">
        <v>3</v>
      </c>
    </row>
    <row r="3888" spans="1:2" x14ac:dyDescent="0.2">
      <c r="A3888" t="str">
        <f>"CTNND2"</f>
        <v>CTNND2</v>
      </c>
      <c r="B3888" t="s">
        <v>3</v>
      </c>
    </row>
    <row r="3889" spans="1:2" x14ac:dyDescent="0.2">
      <c r="A3889" t="str">
        <f>"CTNS"</f>
        <v>CTNS</v>
      </c>
      <c r="B3889" t="s">
        <v>7</v>
      </c>
    </row>
    <row r="3890" spans="1:2" x14ac:dyDescent="0.2">
      <c r="A3890" t="str">
        <f>"CTPS1"</f>
        <v>CTPS1</v>
      </c>
      <c r="B3890" t="s">
        <v>8</v>
      </c>
    </row>
    <row r="3891" spans="1:2" x14ac:dyDescent="0.2">
      <c r="A3891" t="str">
        <f>"CTPS2"</f>
        <v>CTPS2</v>
      </c>
      <c r="B3891" t="s">
        <v>6</v>
      </c>
    </row>
    <row r="3892" spans="1:2" x14ac:dyDescent="0.2">
      <c r="A3892" t="str">
        <f>"CTR9"</f>
        <v>CTR9</v>
      </c>
      <c r="B3892" t="s">
        <v>8</v>
      </c>
    </row>
    <row r="3893" spans="1:2" x14ac:dyDescent="0.2">
      <c r="A3893" t="str">
        <f>"CTRB1"</f>
        <v>CTRB1</v>
      </c>
      <c r="B3893" t="s">
        <v>7</v>
      </c>
    </row>
    <row r="3894" spans="1:2" x14ac:dyDescent="0.2">
      <c r="A3894" t="str">
        <f>"CTRB2"</f>
        <v>CTRB2</v>
      </c>
      <c r="B3894" t="s">
        <v>2</v>
      </c>
    </row>
    <row r="3895" spans="1:2" x14ac:dyDescent="0.2">
      <c r="A3895" t="str">
        <f>"CTRC"</f>
        <v>CTRC</v>
      </c>
      <c r="B3895" t="s">
        <v>2</v>
      </c>
    </row>
    <row r="3896" spans="1:2" x14ac:dyDescent="0.2">
      <c r="A3896" t="str">
        <f>"CTRL"</f>
        <v>CTRL</v>
      </c>
      <c r="B3896" t="s">
        <v>2</v>
      </c>
    </row>
    <row r="3897" spans="1:2" x14ac:dyDescent="0.2">
      <c r="A3897" t="str">
        <f>"CTSA"</f>
        <v>CTSA</v>
      </c>
      <c r="B3897" t="s">
        <v>2</v>
      </c>
    </row>
    <row r="3898" spans="1:2" x14ac:dyDescent="0.2">
      <c r="A3898" t="str">
        <f>"CTSB"</f>
        <v>CTSB</v>
      </c>
      <c r="B3898" t="s">
        <v>3</v>
      </c>
    </row>
    <row r="3899" spans="1:2" x14ac:dyDescent="0.2">
      <c r="A3899" t="str">
        <f>"CTSC"</f>
        <v>CTSC</v>
      </c>
      <c r="B3899" t="s">
        <v>2</v>
      </c>
    </row>
    <row r="3900" spans="1:2" x14ac:dyDescent="0.2">
      <c r="A3900" t="str">
        <f>"CTSD"</f>
        <v>CTSD</v>
      </c>
      <c r="B3900" t="s">
        <v>3</v>
      </c>
    </row>
    <row r="3901" spans="1:2" x14ac:dyDescent="0.2">
      <c r="A3901" t="str">
        <f>"CTSE"</f>
        <v>CTSE</v>
      </c>
      <c r="B3901" t="s">
        <v>2</v>
      </c>
    </row>
    <row r="3902" spans="1:2" x14ac:dyDescent="0.2">
      <c r="A3902" t="str">
        <f>"CTSF"</f>
        <v>CTSF</v>
      </c>
      <c r="B3902" t="s">
        <v>7</v>
      </c>
    </row>
    <row r="3903" spans="1:2" x14ac:dyDescent="0.2">
      <c r="A3903" t="str">
        <f>"CTSG"</f>
        <v>CTSG</v>
      </c>
      <c r="B3903" t="s">
        <v>7</v>
      </c>
    </row>
    <row r="3904" spans="1:2" x14ac:dyDescent="0.2">
      <c r="A3904" t="str">
        <f>"CTSH"</f>
        <v>CTSH</v>
      </c>
      <c r="B3904" t="s">
        <v>7</v>
      </c>
    </row>
    <row r="3905" spans="1:2" x14ac:dyDescent="0.2">
      <c r="A3905" t="str">
        <f>"CTSK"</f>
        <v>CTSK</v>
      </c>
      <c r="B3905" t="s">
        <v>7</v>
      </c>
    </row>
    <row r="3906" spans="1:2" x14ac:dyDescent="0.2">
      <c r="A3906" t="str">
        <f>"CTSL"</f>
        <v>CTSL</v>
      </c>
      <c r="B3906" t="s">
        <v>7</v>
      </c>
    </row>
    <row r="3907" spans="1:2" x14ac:dyDescent="0.2">
      <c r="A3907" t="str">
        <f>"CTSO"</f>
        <v>CTSO</v>
      </c>
      <c r="B3907" t="s">
        <v>2</v>
      </c>
    </row>
    <row r="3908" spans="1:2" x14ac:dyDescent="0.2">
      <c r="A3908" t="str">
        <f>"CTSS"</f>
        <v>CTSS</v>
      </c>
      <c r="B3908" t="s">
        <v>7</v>
      </c>
    </row>
    <row r="3909" spans="1:2" x14ac:dyDescent="0.2">
      <c r="A3909" t="str">
        <f>"CTSV"</f>
        <v>CTSV</v>
      </c>
      <c r="B3909" t="s">
        <v>7</v>
      </c>
    </row>
    <row r="3910" spans="1:2" x14ac:dyDescent="0.2">
      <c r="A3910" t="str">
        <f>"CTSW"</f>
        <v>CTSW</v>
      </c>
      <c r="B3910" t="s">
        <v>2</v>
      </c>
    </row>
    <row r="3911" spans="1:2" x14ac:dyDescent="0.2">
      <c r="A3911" t="str">
        <f>"CTSZ"</f>
        <v>CTSZ</v>
      </c>
      <c r="B3911" t="s">
        <v>2</v>
      </c>
    </row>
    <row r="3912" spans="1:2" x14ac:dyDescent="0.2">
      <c r="A3912" t="str">
        <f>"CTTN"</f>
        <v>CTTN</v>
      </c>
      <c r="B3912" t="s">
        <v>2</v>
      </c>
    </row>
    <row r="3913" spans="1:2" x14ac:dyDescent="0.2">
      <c r="A3913" t="str">
        <f>"CTTNBP2"</f>
        <v>CTTNBP2</v>
      </c>
      <c r="B3913" t="s">
        <v>6</v>
      </c>
    </row>
    <row r="3914" spans="1:2" x14ac:dyDescent="0.2">
      <c r="A3914" t="str">
        <f>"CTTNBP2NL"</f>
        <v>CTTNBP2NL</v>
      </c>
      <c r="B3914" t="s">
        <v>6</v>
      </c>
    </row>
    <row r="3915" spans="1:2" x14ac:dyDescent="0.2">
      <c r="A3915" t="str">
        <f>"CTU1"</f>
        <v>CTU1</v>
      </c>
      <c r="B3915" t="s">
        <v>6</v>
      </c>
    </row>
    <row r="3916" spans="1:2" x14ac:dyDescent="0.2">
      <c r="A3916" t="str">
        <f>"CTU2"</f>
        <v>CTU2</v>
      </c>
      <c r="B3916" t="s">
        <v>6</v>
      </c>
    </row>
    <row r="3917" spans="1:2" x14ac:dyDescent="0.2">
      <c r="A3917" t="str">
        <f>"CTXN1"</f>
        <v>CTXN1</v>
      </c>
      <c r="B3917" t="s">
        <v>5</v>
      </c>
    </row>
    <row r="3918" spans="1:2" x14ac:dyDescent="0.2">
      <c r="A3918" t="str">
        <f>"CTXN2"</f>
        <v>CTXN2</v>
      </c>
      <c r="B3918" t="s">
        <v>5</v>
      </c>
    </row>
    <row r="3919" spans="1:2" x14ac:dyDescent="0.2">
      <c r="A3919" t="str">
        <f>"CTXN3"</f>
        <v>CTXN3</v>
      </c>
      <c r="B3919" t="s">
        <v>5</v>
      </c>
    </row>
    <row r="3920" spans="1:2" x14ac:dyDescent="0.2">
      <c r="A3920" t="str">
        <f>"CUBN"</f>
        <v>CUBN</v>
      </c>
      <c r="B3920" t="s">
        <v>7</v>
      </c>
    </row>
    <row r="3921" spans="1:2" x14ac:dyDescent="0.2">
      <c r="A3921" t="str">
        <f>"CUEDC1"</f>
        <v>CUEDC1</v>
      </c>
      <c r="B3921" t="s">
        <v>2</v>
      </c>
    </row>
    <row r="3922" spans="1:2" x14ac:dyDescent="0.2">
      <c r="A3922" t="str">
        <f>"CUEDC2"</f>
        <v>CUEDC2</v>
      </c>
      <c r="B3922" t="s">
        <v>2</v>
      </c>
    </row>
    <row r="3923" spans="1:2" x14ac:dyDescent="0.2">
      <c r="A3923" t="str">
        <f>"CUL1"</f>
        <v>CUL1</v>
      </c>
      <c r="B3923" t="s">
        <v>3</v>
      </c>
    </row>
    <row r="3924" spans="1:2" x14ac:dyDescent="0.2">
      <c r="A3924" t="str">
        <f>"CUL2"</f>
        <v>CUL2</v>
      </c>
      <c r="B3924" t="s">
        <v>3</v>
      </c>
    </row>
    <row r="3925" spans="1:2" x14ac:dyDescent="0.2">
      <c r="A3925" t="str">
        <f>"CUL3"</f>
        <v>CUL3</v>
      </c>
      <c r="B3925" t="s">
        <v>3</v>
      </c>
    </row>
    <row r="3926" spans="1:2" x14ac:dyDescent="0.2">
      <c r="A3926" t="str">
        <f>"CUL4A"</f>
        <v>CUL4A</v>
      </c>
      <c r="B3926" t="s">
        <v>3</v>
      </c>
    </row>
    <row r="3927" spans="1:2" x14ac:dyDescent="0.2">
      <c r="A3927" t="str">
        <f>"CUL4B"</f>
        <v>CUL4B</v>
      </c>
      <c r="B3927" t="s">
        <v>3</v>
      </c>
    </row>
    <row r="3928" spans="1:2" x14ac:dyDescent="0.2">
      <c r="A3928" t="str">
        <f>"CUL5"</f>
        <v>CUL5</v>
      </c>
      <c r="B3928" t="s">
        <v>3</v>
      </c>
    </row>
    <row r="3929" spans="1:2" x14ac:dyDescent="0.2">
      <c r="A3929" t="str">
        <f>"CUL7"</f>
        <v>CUL7</v>
      </c>
      <c r="B3929" t="s">
        <v>3</v>
      </c>
    </row>
    <row r="3930" spans="1:2" x14ac:dyDescent="0.2">
      <c r="A3930" t="str">
        <f>"CUL9"</f>
        <v>CUL9</v>
      </c>
      <c r="B3930" t="s">
        <v>2</v>
      </c>
    </row>
    <row r="3931" spans="1:2" x14ac:dyDescent="0.2">
      <c r="A3931" t="str">
        <f>"CUTA"</f>
        <v>CUTA</v>
      </c>
      <c r="B3931" t="s">
        <v>7</v>
      </c>
    </row>
    <row r="3932" spans="1:2" x14ac:dyDescent="0.2">
      <c r="A3932" t="str">
        <f>"CUTC"</f>
        <v>CUTC</v>
      </c>
      <c r="B3932" t="s">
        <v>4</v>
      </c>
    </row>
    <row r="3933" spans="1:2" x14ac:dyDescent="0.2">
      <c r="A3933" t="str">
        <f>"CUX1"</f>
        <v>CUX1</v>
      </c>
      <c r="B3933" t="s">
        <v>3</v>
      </c>
    </row>
    <row r="3934" spans="1:2" x14ac:dyDescent="0.2">
      <c r="A3934" t="str">
        <f>"CUX2"</f>
        <v>CUX2</v>
      </c>
      <c r="B3934" t="s">
        <v>8</v>
      </c>
    </row>
    <row r="3935" spans="1:2" x14ac:dyDescent="0.2">
      <c r="A3935" t="str">
        <f>"CUZD1"</f>
        <v>CUZD1</v>
      </c>
      <c r="B3935" t="s">
        <v>3</v>
      </c>
    </row>
    <row r="3936" spans="1:2" x14ac:dyDescent="0.2">
      <c r="A3936" t="str">
        <f>"CWC15"</f>
        <v>CWC15</v>
      </c>
      <c r="B3936" t="s">
        <v>8</v>
      </c>
    </row>
    <row r="3937" spans="1:2" x14ac:dyDescent="0.2">
      <c r="A3937" t="str">
        <f>"CWC22"</f>
        <v>CWC22</v>
      </c>
      <c r="B3937" t="s">
        <v>8</v>
      </c>
    </row>
    <row r="3938" spans="1:2" x14ac:dyDescent="0.2">
      <c r="A3938" t="str">
        <f>"CWC25"</f>
        <v>CWC25</v>
      </c>
      <c r="B3938" t="s">
        <v>4</v>
      </c>
    </row>
    <row r="3939" spans="1:2" x14ac:dyDescent="0.2">
      <c r="A3939" t="str">
        <f>"CWC27"</f>
        <v>CWC27</v>
      </c>
      <c r="B3939" t="s">
        <v>2</v>
      </c>
    </row>
    <row r="3940" spans="1:2" x14ac:dyDescent="0.2">
      <c r="A3940" t="str">
        <f>"CWF19L1"</f>
        <v>CWF19L1</v>
      </c>
      <c r="B3940" t="s">
        <v>8</v>
      </c>
    </row>
    <row r="3941" spans="1:2" x14ac:dyDescent="0.2">
      <c r="A3941" t="str">
        <f>"CWF19L2"</f>
        <v>CWF19L2</v>
      </c>
      <c r="B3941" t="s">
        <v>4</v>
      </c>
    </row>
    <row r="3942" spans="1:2" x14ac:dyDescent="0.2">
      <c r="A3942" t="str">
        <f>"CWH43"</f>
        <v>CWH43</v>
      </c>
      <c r="B3942" t="s">
        <v>6</v>
      </c>
    </row>
    <row r="3943" spans="1:2" x14ac:dyDescent="0.2">
      <c r="A3943" t="str">
        <f>"CX3CL1"</f>
        <v>CX3CL1</v>
      </c>
      <c r="B3943" t="s">
        <v>5</v>
      </c>
    </row>
    <row r="3944" spans="1:2" x14ac:dyDescent="0.2">
      <c r="A3944" t="str">
        <f>"CX3CR1"</f>
        <v>CX3CR1</v>
      </c>
      <c r="B3944" t="s">
        <v>5</v>
      </c>
    </row>
    <row r="3945" spans="1:2" x14ac:dyDescent="0.2">
      <c r="A3945" t="str">
        <f>"CXADR"</f>
        <v>CXADR</v>
      </c>
      <c r="B3945" t="s">
        <v>6</v>
      </c>
    </row>
    <row r="3946" spans="1:2" x14ac:dyDescent="0.2">
      <c r="A3946" t="str">
        <f>"CXCL1"</f>
        <v>CXCL1</v>
      </c>
      <c r="B3946" t="s">
        <v>6</v>
      </c>
    </row>
    <row r="3947" spans="1:2" x14ac:dyDescent="0.2">
      <c r="A3947" t="str">
        <f>"CXCL10"</f>
        <v>CXCL10</v>
      </c>
      <c r="B3947" t="s">
        <v>7</v>
      </c>
    </row>
    <row r="3948" spans="1:2" x14ac:dyDescent="0.2">
      <c r="A3948" t="str">
        <f>"CXCL11"</f>
        <v>CXCL11</v>
      </c>
      <c r="B3948" t="s">
        <v>4</v>
      </c>
    </row>
    <row r="3949" spans="1:2" x14ac:dyDescent="0.2">
      <c r="A3949" t="str">
        <f>"CXCL12"</f>
        <v>CXCL12</v>
      </c>
      <c r="B3949" t="s">
        <v>3</v>
      </c>
    </row>
    <row r="3950" spans="1:2" x14ac:dyDescent="0.2">
      <c r="A3950" t="str">
        <f>"CXCL13"</f>
        <v>CXCL13</v>
      </c>
      <c r="B3950" t="s">
        <v>4</v>
      </c>
    </row>
    <row r="3951" spans="1:2" x14ac:dyDescent="0.2">
      <c r="A3951" t="str">
        <f>"CXCL14"</f>
        <v>CXCL14</v>
      </c>
      <c r="B3951" t="s">
        <v>3</v>
      </c>
    </row>
    <row r="3952" spans="1:2" x14ac:dyDescent="0.2">
      <c r="A3952" t="str">
        <f>"CXCL16"</f>
        <v>CXCL16</v>
      </c>
      <c r="B3952" t="s">
        <v>6</v>
      </c>
    </row>
    <row r="3953" spans="1:2" x14ac:dyDescent="0.2">
      <c r="A3953" t="str">
        <f>"CXCL17"</f>
        <v>CXCL17</v>
      </c>
      <c r="B3953" t="s">
        <v>4</v>
      </c>
    </row>
    <row r="3954" spans="1:2" x14ac:dyDescent="0.2">
      <c r="A3954" t="str">
        <f>"CXCL2"</f>
        <v>CXCL2</v>
      </c>
      <c r="B3954" t="s">
        <v>3</v>
      </c>
    </row>
    <row r="3955" spans="1:2" x14ac:dyDescent="0.2">
      <c r="A3955" t="str">
        <f>"CXCL3"</f>
        <v>CXCL3</v>
      </c>
      <c r="B3955" t="s">
        <v>4</v>
      </c>
    </row>
    <row r="3956" spans="1:2" x14ac:dyDescent="0.2">
      <c r="A3956" t="str">
        <f>"CXCL5"</f>
        <v>CXCL5</v>
      </c>
      <c r="B3956" t="s">
        <v>3</v>
      </c>
    </row>
    <row r="3957" spans="1:2" x14ac:dyDescent="0.2">
      <c r="A3957" t="str">
        <f>"CXCL6"</f>
        <v>CXCL6</v>
      </c>
      <c r="B3957" t="s">
        <v>8</v>
      </c>
    </row>
    <row r="3958" spans="1:2" x14ac:dyDescent="0.2">
      <c r="A3958" t="str">
        <f>"CXCL9"</f>
        <v>CXCL9</v>
      </c>
      <c r="B3958" t="s">
        <v>3</v>
      </c>
    </row>
    <row r="3959" spans="1:2" x14ac:dyDescent="0.2">
      <c r="A3959" t="str">
        <f>"CXCR1"</f>
        <v>CXCR1</v>
      </c>
      <c r="B3959" t="s">
        <v>7</v>
      </c>
    </row>
    <row r="3960" spans="1:2" x14ac:dyDescent="0.2">
      <c r="A3960" t="str">
        <f>"CXCR2"</f>
        <v>CXCR2</v>
      </c>
      <c r="B3960" t="s">
        <v>5</v>
      </c>
    </row>
    <row r="3961" spans="1:2" x14ac:dyDescent="0.2">
      <c r="A3961" t="str">
        <f>"CXCR3"</f>
        <v>CXCR3</v>
      </c>
      <c r="B3961" t="s">
        <v>5</v>
      </c>
    </row>
    <row r="3962" spans="1:2" x14ac:dyDescent="0.2">
      <c r="A3962" t="str">
        <f>"CXCR4"</f>
        <v>CXCR4</v>
      </c>
      <c r="B3962" t="s">
        <v>3</v>
      </c>
    </row>
    <row r="3963" spans="1:2" x14ac:dyDescent="0.2">
      <c r="A3963" t="str">
        <f>"CXCR5"</f>
        <v>CXCR5</v>
      </c>
      <c r="B3963" t="s">
        <v>5</v>
      </c>
    </row>
    <row r="3964" spans="1:2" x14ac:dyDescent="0.2">
      <c r="A3964" t="str">
        <f>"CXCR6"</f>
        <v>CXCR6</v>
      </c>
      <c r="B3964" t="s">
        <v>5</v>
      </c>
    </row>
    <row r="3965" spans="1:2" x14ac:dyDescent="0.2">
      <c r="A3965" t="str">
        <f>"CXXC1"</f>
        <v>CXXC1</v>
      </c>
      <c r="B3965" t="s">
        <v>8</v>
      </c>
    </row>
    <row r="3966" spans="1:2" x14ac:dyDescent="0.2">
      <c r="A3966" t="str">
        <f>"CXXC11"</f>
        <v>CXXC11</v>
      </c>
      <c r="B3966" t="s">
        <v>5</v>
      </c>
    </row>
    <row r="3967" spans="1:2" x14ac:dyDescent="0.2">
      <c r="A3967" t="str">
        <f>"CXXC4"</f>
        <v>CXXC4</v>
      </c>
      <c r="B3967" t="s">
        <v>6</v>
      </c>
    </row>
    <row r="3968" spans="1:2" x14ac:dyDescent="0.2">
      <c r="A3968" t="str">
        <f>"CXXC5"</f>
        <v>CXXC5</v>
      </c>
      <c r="B3968" t="s">
        <v>8</v>
      </c>
    </row>
    <row r="3969" spans="1:2" x14ac:dyDescent="0.2">
      <c r="A3969" t="str">
        <f>"CXorf21"</f>
        <v>CXorf21</v>
      </c>
      <c r="B3969" t="s">
        <v>4</v>
      </c>
    </row>
    <row r="3970" spans="1:2" x14ac:dyDescent="0.2">
      <c r="A3970" t="str">
        <f>"CXorf22"</f>
        <v>CXorf22</v>
      </c>
      <c r="B3970" t="s">
        <v>3</v>
      </c>
    </row>
    <row r="3971" spans="1:2" x14ac:dyDescent="0.2">
      <c r="A3971" t="str">
        <f>"CXorf23"</f>
        <v>CXorf23</v>
      </c>
      <c r="B3971" t="s">
        <v>6</v>
      </c>
    </row>
    <row r="3972" spans="1:2" x14ac:dyDescent="0.2">
      <c r="A3972" t="str">
        <f>"CXorf27"</f>
        <v>CXorf27</v>
      </c>
      <c r="B3972" t="s">
        <v>8</v>
      </c>
    </row>
    <row r="3973" spans="1:2" x14ac:dyDescent="0.2">
      <c r="A3973" t="str">
        <f>"CXorf30"</f>
        <v>CXorf30</v>
      </c>
      <c r="B3973" t="s">
        <v>4</v>
      </c>
    </row>
    <row r="3974" spans="1:2" x14ac:dyDescent="0.2">
      <c r="A3974" t="str">
        <f>"CXorf36"</f>
        <v>CXorf36</v>
      </c>
      <c r="B3974" t="s">
        <v>3</v>
      </c>
    </row>
    <row r="3975" spans="1:2" x14ac:dyDescent="0.2">
      <c r="A3975" t="str">
        <f>"CXorf38"</f>
        <v>CXorf38</v>
      </c>
      <c r="B3975" t="s">
        <v>4</v>
      </c>
    </row>
    <row r="3976" spans="1:2" x14ac:dyDescent="0.2">
      <c r="A3976" t="str">
        <f>"CXorf40A"</f>
        <v>CXorf40A</v>
      </c>
      <c r="B3976" t="s">
        <v>4</v>
      </c>
    </row>
    <row r="3977" spans="1:2" x14ac:dyDescent="0.2">
      <c r="A3977" t="str">
        <f>"CXorf40B"</f>
        <v>CXorf40B</v>
      </c>
      <c r="B3977" t="s">
        <v>4</v>
      </c>
    </row>
    <row r="3978" spans="1:2" x14ac:dyDescent="0.2">
      <c r="A3978" t="str">
        <f>"CXorf48"</f>
        <v>CXorf48</v>
      </c>
      <c r="B3978" t="s">
        <v>4</v>
      </c>
    </row>
    <row r="3979" spans="1:2" x14ac:dyDescent="0.2">
      <c r="A3979" t="str">
        <f>"CXorf49"</f>
        <v>CXorf49</v>
      </c>
      <c r="B3979" t="s">
        <v>4</v>
      </c>
    </row>
    <row r="3980" spans="1:2" x14ac:dyDescent="0.2">
      <c r="A3980" t="str">
        <f>"CXorf49B"</f>
        <v>CXorf49B</v>
      </c>
      <c r="B3980" t="s">
        <v>4</v>
      </c>
    </row>
    <row r="3981" spans="1:2" x14ac:dyDescent="0.2">
      <c r="A3981" t="str">
        <f>"CXorf51A"</f>
        <v>CXorf51A</v>
      </c>
      <c r="B3981" t="s">
        <v>4</v>
      </c>
    </row>
    <row r="3982" spans="1:2" x14ac:dyDescent="0.2">
      <c r="A3982" t="str">
        <f>"CXorf51B"</f>
        <v>CXorf51B</v>
      </c>
      <c r="B3982" t="s">
        <v>4</v>
      </c>
    </row>
    <row r="3983" spans="1:2" x14ac:dyDescent="0.2">
      <c r="A3983" t="str">
        <f>"CXorf56"</f>
        <v>CXorf56</v>
      </c>
      <c r="B3983" t="s">
        <v>4</v>
      </c>
    </row>
    <row r="3984" spans="1:2" x14ac:dyDescent="0.2">
      <c r="A3984" t="str">
        <f>"CXorf57"</f>
        <v>CXorf57</v>
      </c>
      <c r="B3984" t="s">
        <v>5</v>
      </c>
    </row>
    <row r="3985" spans="1:2" x14ac:dyDescent="0.2">
      <c r="A3985" t="str">
        <f>"CXorf58"</f>
        <v>CXorf58</v>
      </c>
      <c r="B3985" t="s">
        <v>4</v>
      </c>
    </row>
    <row r="3986" spans="1:2" x14ac:dyDescent="0.2">
      <c r="A3986" t="str">
        <f>"CXorf61"</f>
        <v>CXorf61</v>
      </c>
      <c r="B3986" t="s">
        <v>4</v>
      </c>
    </row>
    <row r="3987" spans="1:2" x14ac:dyDescent="0.2">
      <c r="A3987" t="str">
        <f>"CXorf64"</f>
        <v>CXorf64</v>
      </c>
      <c r="B3987" t="s">
        <v>4</v>
      </c>
    </row>
    <row r="3988" spans="1:2" x14ac:dyDescent="0.2">
      <c r="A3988" t="str">
        <f>"CXorf65"</f>
        <v>CXorf65</v>
      </c>
      <c r="B3988" t="s">
        <v>4</v>
      </c>
    </row>
    <row r="3989" spans="1:2" x14ac:dyDescent="0.2">
      <c r="A3989" t="str">
        <f>"CXorf66"</f>
        <v>CXorf66</v>
      </c>
      <c r="B3989" t="s">
        <v>5</v>
      </c>
    </row>
    <row r="3990" spans="1:2" x14ac:dyDescent="0.2">
      <c r="A3990" t="str">
        <f>"CYB561"</f>
        <v>CYB561</v>
      </c>
      <c r="B3990" t="s">
        <v>2</v>
      </c>
    </row>
    <row r="3991" spans="1:2" x14ac:dyDescent="0.2">
      <c r="A3991" t="str">
        <f>"CYB561A3"</f>
        <v>CYB561A3</v>
      </c>
      <c r="B3991" t="s">
        <v>5</v>
      </c>
    </row>
    <row r="3992" spans="1:2" x14ac:dyDescent="0.2">
      <c r="A3992" t="str">
        <f>"CYB561D1"</f>
        <v>CYB561D1</v>
      </c>
      <c r="B3992" t="s">
        <v>5</v>
      </c>
    </row>
    <row r="3993" spans="1:2" x14ac:dyDescent="0.2">
      <c r="A3993" t="str">
        <f>"CYB561D2"</f>
        <v>CYB561D2</v>
      </c>
      <c r="B3993" t="s">
        <v>5</v>
      </c>
    </row>
    <row r="3994" spans="1:2" x14ac:dyDescent="0.2">
      <c r="A3994" t="str">
        <f>"CYB5A"</f>
        <v>CYB5A</v>
      </c>
      <c r="B3994" t="s">
        <v>7</v>
      </c>
    </row>
    <row r="3995" spans="1:2" x14ac:dyDescent="0.2">
      <c r="A3995" t="str">
        <f>"CYB5B"</f>
        <v>CYB5B</v>
      </c>
      <c r="B3995" t="s">
        <v>7</v>
      </c>
    </row>
    <row r="3996" spans="1:2" x14ac:dyDescent="0.2">
      <c r="A3996" t="str">
        <f>"CYB5D1"</f>
        <v>CYB5D1</v>
      </c>
      <c r="B3996" t="s">
        <v>4</v>
      </c>
    </row>
    <row r="3997" spans="1:2" x14ac:dyDescent="0.2">
      <c r="A3997" t="str">
        <f>"CYB5D2"</f>
        <v>CYB5D2</v>
      </c>
      <c r="B3997" t="s">
        <v>6</v>
      </c>
    </row>
    <row r="3998" spans="1:2" x14ac:dyDescent="0.2">
      <c r="A3998" t="str">
        <f>"CYB5R1"</f>
        <v>CYB5R1</v>
      </c>
      <c r="B3998" t="s">
        <v>7</v>
      </c>
    </row>
    <row r="3999" spans="1:2" x14ac:dyDescent="0.2">
      <c r="A3999" t="str">
        <f>"CYB5R2"</f>
        <v>CYB5R2</v>
      </c>
      <c r="B3999" t="s">
        <v>6</v>
      </c>
    </row>
    <row r="4000" spans="1:2" x14ac:dyDescent="0.2">
      <c r="A4000" t="str">
        <f>"CYB5R3"</f>
        <v>CYB5R3</v>
      </c>
      <c r="B4000" t="s">
        <v>3</v>
      </c>
    </row>
    <row r="4001" spans="1:2" x14ac:dyDescent="0.2">
      <c r="A4001" t="str">
        <f>"CYB5R4"</f>
        <v>CYB5R4</v>
      </c>
      <c r="B4001" t="s">
        <v>6</v>
      </c>
    </row>
    <row r="4002" spans="1:2" x14ac:dyDescent="0.2">
      <c r="A4002" t="str">
        <f>"CYB5RL"</f>
        <v>CYB5RL</v>
      </c>
      <c r="B4002" t="s">
        <v>4</v>
      </c>
    </row>
    <row r="4003" spans="1:2" x14ac:dyDescent="0.2">
      <c r="A4003" t="str">
        <f>"CYBA"</f>
        <v>CYBA</v>
      </c>
      <c r="B4003" t="s">
        <v>6</v>
      </c>
    </row>
    <row r="4004" spans="1:2" x14ac:dyDescent="0.2">
      <c r="A4004" t="str">
        <f>"CYBB"</f>
        <v>CYBB</v>
      </c>
      <c r="B4004" t="s">
        <v>2</v>
      </c>
    </row>
    <row r="4005" spans="1:2" x14ac:dyDescent="0.2">
      <c r="A4005" t="str">
        <f>"CYBRD1"</f>
        <v>CYBRD1</v>
      </c>
      <c r="B4005" t="s">
        <v>2</v>
      </c>
    </row>
    <row r="4006" spans="1:2" x14ac:dyDescent="0.2">
      <c r="A4006" t="str">
        <f>"CYC1"</f>
        <v>CYC1</v>
      </c>
      <c r="B4006" t="s">
        <v>7</v>
      </c>
    </row>
    <row r="4007" spans="1:2" x14ac:dyDescent="0.2">
      <c r="A4007" t="str">
        <f>"CYCS"</f>
        <v>CYCS</v>
      </c>
      <c r="B4007" t="s">
        <v>3</v>
      </c>
    </row>
    <row r="4008" spans="1:2" x14ac:dyDescent="0.2">
      <c r="A4008" t="str">
        <f>"CYFIP1"</f>
        <v>CYFIP1</v>
      </c>
      <c r="B4008" t="s">
        <v>6</v>
      </c>
    </row>
    <row r="4009" spans="1:2" x14ac:dyDescent="0.2">
      <c r="A4009" t="str">
        <f>"CYFIP2"</f>
        <v>CYFIP2</v>
      </c>
      <c r="B4009" t="s">
        <v>6</v>
      </c>
    </row>
    <row r="4010" spans="1:2" x14ac:dyDescent="0.2">
      <c r="A4010" t="str">
        <f>"CYGB"</f>
        <v>CYGB</v>
      </c>
      <c r="B4010" t="s">
        <v>7</v>
      </c>
    </row>
    <row r="4011" spans="1:2" x14ac:dyDescent="0.2">
      <c r="A4011" t="str">
        <f>"CYHR1"</f>
        <v>CYHR1</v>
      </c>
      <c r="B4011" t="s">
        <v>5</v>
      </c>
    </row>
    <row r="4012" spans="1:2" x14ac:dyDescent="0.2">
      <c r="A4012" t="str">
        <f>"CYLC1"</f>
        <v>CYLC1</v>
      </c>
      <c r="B4012" t="s">
        <v>6</v>
      </c>
    </row>
    <row r="4013" spans="1:2" x14ac:dyDescent="0.2">
      <c r="A4013" t="str">
        <f>"CYLC2"</f>
        <v>CYLC2</v>
      </c>
      <c r="B4013" t="s">
        <v>6</v>
      </c>
    </row>
    <row r="4014" spans="1:2" x14ac:dyDescent="0.2">
      <c r="A4014" t="str">
        <f>"CYLD"</f>
        <v>CYLD</v>
      </c>
      <c r="B4014" t="s">
        <v>3</v>
      </c>
    </row>
    <row r="4015" spans="1:2" x14ac:dyDescent="0.2">
      <c r="A4015" t="str">
        <f>"CYP11A1"</f>
        <v>CYP11A1</v>
      </c>
      <c r="B4015" t="s">
        <v>3</v>
      </c>
    </row>
    <row r="4016" spans="1:2" x14ac:dyDescent="0.2">
      <c r="A4016" t="str">
        <f>"CYP11B1"</f>
        <v>CYP11B1</v>
      </c>
      <c r="B4016" t="s">
        <v>3</v>
      </c>
    </row>
    <row r="4017" spans="1:2" x14ac:dyDescent="0.2">
      <c r="A4017" t="str">
        <f>"CYP11B2"</f>
        <v>CYP11B2</v>
      </c>
      <c r="B4017" t="s">
        <v>2</v>
      </c>
    </row>
    <row r="4018" spans="1:2" x14ac:dyDescent="0.2">
      <c r="A4018" t="str">
        <f>"CYP17A1"</f>
        <v>CYP17A1</v>
      </c>
      <c r="B4018" t="s">
        <v>3</v>
      </c>
    </row>
    <row r="4019" spans="1:2" x14ac:dyDescent="0.2">
      <c r="A4019" t="str">
        <f>"CYP19A1"</f>
        <v>CYP19A1</v>
      </c>
      <c r="B4019" t="s">
        <v>3</v>
      </c>
    </row>
    <row r="4020" spans="1:2" x14ac:dyDescent="0.2">
      <c r="A4020" t="str">
        <f>"CYP1A1"</f>
        <v>CYP1A1</v>
      </c>
      <c r="B4020" t="s">
        <v>3</v>
      </c>
    </row>
    <row r="4021" spans="1:2" x14ac:dyDescent="0.2">
      <c r="A4021" t="str">
        <f>"CYP1A2"</f>
        <v>CYP1A2</v>
      </c>
      <c r="B4021" t="s">
        <v>3</v>
      </c>
    </row>
    <row r="4022" spans="1:2" x14ac:dyDescent="0.2">
      <c r="A4022" t="str">
        <f>"CYP1B1"</f>
        <v>CYP1B1</v>
      </c>
      <c r="B4022" t="s">
        <v>3</v>
      </c>
    </row>
    <row r="4023" spans="1:2" x14ac:dyDescent="0.2">
      <c r="A4023" t="str">
        <f>"CYP20A1"</f>
        <v>CYP20A1</v>
      </c>
      <c r="B4023" t="s">
        <v>6</v>
      </c>
    </row>
    <row r="4024" spans="1:2" x14ac:dyDescent="0.2">
      <c r="A4024" t="str">
        <f>"CYP21A2"</f>
        <v>CYP21A2</v>
      </c>
      <c r="B4024" t="s">
        <v>3</v>
      </c>
    </row>
    <row r="4025" spans="1:2" x14ac:dyDescent="0.2">
      <c r="A4025" t="str">
        <f>"CYP24A1"</f>
        <v>CYP24A1</v>
      </c>
      <c r="B4025" t="s">
        <v>3</v>
      </c>
    </row>
    <row r="4026" spans="1:2" x14ac:dyDescent="0.2">
      <c r="A4026" t="str">
        <f>"CYP26A1"</f>
        <v>CYP26A1</v>
      </c>
      <c r="B4026" t="s">
        <v>2</v>
      </c>
    </row>
    <row r="4027" spans="1:2" x14ac:dyDescent="0.2">
      <c r="A4027" t="str">
        <f>"CYP26B1"</f>
        <v>CYP26B1</v>
      </c>
      <c r="B4027" t="s">
        <v>6</v>
      </c>
    </row>
    <row r="4028" spans="1:2" x14ac:dyDescent="0.2">
      <c r="A4028" t="str">
        <f>"CYP26C1"</f>
        <v>CYP26C1</v>
      </c>
      <c r="B4028" t="s">
        <v>5</v>
      </c>
    </row>
    <row r="4029" spans="1:2" x14ac:dyDescent="0.2">
      <c r="A4029" t="str">
        <f>"CYP27A1"</f>
        <v>CYP27A1</v>
      </c>
      <c r="B4029" t="s">
        <v>6</v>
      </c>
    </row>
    <row r="4030" spans="1:2" x14ac:dyDescent="0.2">
      <c r="A4030" t="str">
        <f>"CYP27B1"</f>
        <v>CYP27B1</v>
      </c>
      <c r="B4030" t="s">
        <v>3</v>
      </c>
    </row>
    <row r="4031" spans="1:2" x14ac:dyDescent="0.2">
      <c r="A4031" t="str">
        <f>"CYP27C1"</f>
        <v>CYP27C1</v>
      </c>
      <c r="B4031" t="s">
        <v>6</v>
      </c>
    </row>
    <row r="4032" spans="1:2" x14ac:dyDescent="0.2">
      <c r="A4032" t="str">
        <f>"CYP2A13"</f>
        <v>CYP2A13</v>
      </c>
      <c r="B4032" t="s">
        <v>3</v>
      </c>
    </row>
    <row r="4033" spans="1:2" x14ac:dyDescent="0.2">
      <c r="A4033" t="str">
        <f>"CYP2A6"</f>
        <v>CYP2A6</v>
      </c>
      <c r="B4033" t="s">
        <v>3</v>
      </c>
    </row>
    <row r="4034" spans="1:2" x14ac:dyDescent="0.2">
      <c r="A4034" t="str">
        <f>"CYP2A7"</f>
        <v>CYP2A7</v>
      </c>
      <c r="B4034" t="s">
        <v>3</v>
      </c>
    </row>
    <row r="4035" spans="1:2" x14ac:dyDescent="0.2">
      <c r="A4035" t="str">
        <f>"CYP2B6"</f>
        <v>CYP2B6</v>
      </c>
      <c r="B4035" t="s">
        <v>3</v>
      </c>
    </row>
    <row r="4036" spans="1:2" x14ac:dyDescent="0.2">
      <c r="A4036" t="str">
        <f>"CYP2C18"</f>
        <v>CYP2C18</v>
      </c>
      <c r="B4036" t="s">
        <v>7</v>
      </c>
    </row>
    <row r="4037" spans="1:2" x14ac:dyDescent="0.2">
      <c r="A4037" t="str">
        <f>"CYP2C19"</f>
        <v>CYP2C19</v>
      </c>
      <c r="B4037" t="s">
        <v>2</v>
      </c>
    </row>
    <row r="4038" spans="1:2" x14ac:dyDescent="0.2">
      <c r="A4038" t="str">
        <f>"CYP2C8"</f>
        <v>CYP2C8</v>
      </c>
      <c r="B4038" t="s">
        <v>7</v>
      </c>
    </row>
    <row r="4039" spans="1:2" x14ac:dyDescent="0.2">
      <c r="A4039" t="str">
        <f>"CYP2C9"</f>
        <v>CYP2C9</v>
      </c>
      <c r="B4039" t="s">
        <v>7</v>
      </c>
    </row>
    <row r="4040" spans="1:2" x14ac:dyDescent="0.2">
      <c r="A4040" t="str">
        <f>"CYP2D6"</f>
        <v>CYP2D6</v>
      </c>
      <c r="B4040" t="s">
        <v>7</v>
      </c>
    </row>
    <row r="4041" spans="1:2" x14ac:dyDescent="0.2">
      <c r="A4041" t="str">
        <f>"CYP2E1"</f>
        <v>CYP2E1</v>
      </c>
      <c r="B4041" t="s">
        <v>2</v>
      </c>
    </row>
    <row r="4042" spans="1:2" x14ac:dyDescent="0.2">
      <c r="A4042" t="str">
        <f>"CYP2F1"</f>
        <v>CYP2F1</v>
      </c>
      <c r="B4042" t="s">
        <v>2</v>
      </c>
    </row>
    <row r="4043" spans="1:2" x14ac:dyDescent="0.2">
      <c r="A4043" t="str">
        <f>"CYP2J2"</f>
        <v>CYP2J2</v>
      </c>
      <c r="B4043" t="s">
        <v>3</v>
      </c>
    </row>
    <row r="4044" spans="1:2" x14ac:dyDescent="0.2">
      <c r="A4044" t="str">
        <f>"CYP2R1"</f>
        <v>CYP2R1</v>
      </c>
      <c r="B4044" t="s">
        <v>2</v>
      </c>
    </row>
    <row r="4045" spans="1:2" x14ac:dyDescent="0.2">
      <c r="A4045" t="str">
        <f>"CYP2S1"</f>
        <v>CYP2S1</v>
      </c>
      <c r="B4045" t="s">
        <v>2</v>
      </c>
    </row>
    <row r="4046" spans="1:2" x14ac:dyDescent="0.2">
      <c r="A4046" t="str">
        <f>"CYP2U1"</f>
        <v>CYP2U1</v>
      </c>
      <c r="B4046" t="s">
        <v>2</v>
      </c>
    </row>
    <row r="4047" spans="1:2" x14ac:dyDescent="0.2">
      <c r="A4047" t="str">
        <f>"CYP2W1"</f>
        <v>CYP2W1</v>
      </c>
      <c r="B4047" t="s">
        <v>6</v>
      </c>
    </row>
    <row r="4048" spans="1:2" x14ac:dyDescent="0.2">
      <c r="A4048" t="str">
        <f>"CYP39A1"</f>
        <v>CYP39A1</v>
      </c>
      <c r="B4048" t="s">
        <v>6</v>
      </c>
    </row>
    <row r="4049" spans="1:2" x14ac:dyDescent="0.2">
      <c r="A4049" t="str">
        <f>"CYP3A4"</f>
        <v>CYP3A4</v>
      </c>
      <c r="B4049" t="s">
        <v>3</v>
      </c>
    </row>
    <row r="4050" spans="1:2" x14ac:dyDescent="0.2">
      <c r="A4050" t="str">
        <f>"CYP3A43"</f>
        <v>CYP3A43</v>
      </c>
      <c r="B4050" t="s">
        <v>6</v>
      </c>
    </row>
    <row r="4051" spans="1:2" x14ac:dyDescent="0.2">
      <c r="A4051" t="str">
        <f>"CYP3A5"</f>
        <v>CYP3A5</v>
      </c>
      <c r="B4051" t="s">
        <v>7</v>
      </c>
    </row>
    <row r="4052" spans="1:2" x14ac:dyDescent="0.2">
      <c r="A4052" t="str">
        <f>"CYP3A7"</f>
        <v>CYP3A7</v>
      </c>
      <c r="B4052" t="s">
        <v>2</v>
      </c>
    </row>
    <row r="4053" spans="1:2" x14ac:dyDescent="0.2">
      <c r="A4053" t="str">
        <f>"CYP3A7-CYP3AP1"</f>
        <v>CYP3A7-CYP3AP1</v>
      </c>
      <c r="B4053" t="s">
        <v>4</v>
      </c>
    </row>
    <row r="4054" spans="1:2" x14ac:dyDescent="0.2">
      <c r="A4054" t="str">
        <f>"CYP46A1"</f>
        <v>CYP46A1</v>
      </c>
      <c r="B4054" t="s">
        <v>2</v>
      </c>
    </row>
    <row r="4055" spans="1:2" x14ac:dyDescent="0.2">
      <c r="A4055" t="str">
        <f>"CYP4A11"</f>
        <v>CYP4A11</v>
      </c>
      <c r="B4055" t="s">
        <v>7</v>
      </c>
    </row>
    <row r="4056" spans="1:2" x14ac:dyDescent="0.2">
      <c r="A4056" t="str">
        <f>"CYP4A22"</f>
        <v>CYP4A22</v>
      </c>
      <c r="B4056" t="s">
        <v>2</v>
      </c>
    </row>
    <row r="4057" spans="1:2" x14ac:dyDescent="0.2">
      <c r="A4057" t="str">
        <f>"CYP4B1"</f>
        <v>CYP4B1</v>
      </c>
      <c r="B4057" t="s">
        <v>2</v>
      </c>
    </row>
    <row r="4058" spans="1:2" x14ac:dyDescent="0.2">
      <c r="A4058" t="str">
        <f>"CYP4F11"</f>
        <v>CYP4F11</v>
      </c>
      <c r="B4058" t="s">
        <v>6</v>
      </c>
    </row>
    <row r="4059" spans="1:2" x14ac:dyDescent="0.2">
      <c r="A4059" t="str">
        <f>"CYP4F12"</f>
        <v>CYP4F12</v>
      </c>
      <c r="B4059" t="s">
        <v>6</v>
      </c>
    </row>
    <row r="4060" spans="1:2" x14ac:dyDescent="0.2">
      <c r="A4060" t="str">
        <f>"CYP4F2"</f>
        <v>CYP4F2</v>
      </c>
      <c r="B4060" t="s">
        <v>6</v>
      </c>
    </row>
    <row r="4061" spans="1:2" x14ac:dyDescent="0.2">
      <c r="A4061" t="str">
        <f>"CYP4F22"</f>
        <v>CYP4F22</v>
      </c>
      <c r="B4061" t="s">
        <v>6</v>
      </c>
    </row>
    <row r="4062" spans="1:2" x14ac:dyDescent="0.2">
      <c r="A4062" t="str">
        <f>"CYP4F3"</f>
        <v>CYP4F3</v>
      </c>
      <c r="B4062" t="s">
        <v>6</v>
      </c>
    </row>
    <row r="4063" spans="1:2" x14ac:dyDescent="0.2">
      <c r="A4063" t="str">
        <f>"CYP4F8"</f>
        <v>CYP4F8</v>
      </c>
      <c r="B4063" t="s">
        <v>6</v>
      </c>
    </row>
    <row r="4064" spans="1:2" x14ac:dyDescent="0.2">
      <c r="A4064" t="str">
        <f>"CYP4V2"</f>
        <v>CYP4V2</v>
      </c>
      <c r="B4064" t="s">
        <v>2</v>
      </c>
    </row>
    <row r="4065" spans="1:2" x14ac:dyDescent="0.2">
      <c r="A4065" t="str">
        <f>"CYP4X1"</f>
        <v>CYP4X1</v>
      </c>
      <c r="B4065" t="s">
        <v>2</v>
      </c>
    </row>
    <row r="4066" spans="1:2" x14ac:dyDescent="0.2">
      <c r="A4066" t="str">
        <f>"CYP4Z1"</f>
        <v>CYP4Z1</v>
      </c>
      <c r="B4066" t="s">
        <v>2</v>
      </c>
    </row>
    <row r="4067" spans="1:2" x14ac:dyDescent="0.2">
      <c r="A4067" t="str">
        <f>"CYP51A1"</f>
        <v>CYP51A1</v>
      </c>
      <c r="B4067" t="s">
        <v>3</v>
      </c>
    </row>
    <row r="4068" spans="1:2" x14ac:dyDescent="0.2">
      <c r="A4068" t="str">
        <f>"CYP7A1"</f>
        <v>CYP7A1</v>
      </c>
      <c r="B4068" t="s">
        <v>6</v>
      </c>
    </row>
    <row r="4069" spans="1:2" x14ac:dyDescent="0.2">
      <c r="A4069" t="str">
        <f>"CYP7B1"</f>
        <v>CYP7B1</v>
      </c>
      <c r="B4069" t="s">
        <v>6</v>
      </c>
    </row>
    <row r="4070" spans="1:2" x14ac:dyDescent="0.2">
      <c r="A4070" t="str">
        <f>"CYP8B1"</f>
        <v>CYP8B1</v>
      </c>
      <c r="B4070" t="s">
        <v>2</v>
      </c>
    </row>
    <row r="4071" spans="1:2" x14ac:dyDescent="0.2">
      <c r="A4071" t="str">
        <f>"CYR61"</f>
        <v>CYR61</v>
      </c>
      <c r="B4071" t="s">
        <v>4</v>
      </c>
    </row>
    <row r="4072" spans="1:2" x14ac:dyDescent="0.2">
      <c r="A4072" t="str">
        <f>"CYS1"</f>
        <v>CYS1</v>
      </c>
      <c r="B4072" t="s">
        <v>4</v>
      </c>
    </row>
    <row r="4073" spans="1:2" x14ac:dyDescent="0.2">
      <c r="A4073" t="str">
        <f>"CYSLTR1"</f>
        <v>CYSLTR1</v>
      </c>
      <c r="B4073" t="s">
        <v>7</v>
      </c>
    </row>
    <row r="4074" spans="1:2" x14ac:dyDescent="0.2">
      <c r="A4074" t="str">
        <f>"CYSLTR2"</f>
        <v>CYSLTR2</v>
      </c>
      <c r="B4074" t="s">
        <v>7</v>
      </c>
    </row>
    <row r="4075" spans="1:2" x14ac:dyDescent="0.2">
      <c r="A4075" t="str">
        <f>"CYSTM1"</f>
        <v>CYSTM1</v>
      </c>
      <c r="B4075" t="s">
        <v>4</v>
      </c>
    </row>
    <row r="4076" spans="1:2" x14ac:dyDescent="0.2">
      <c r="A4076" t="str">
        <f>"CYTH1"</f>
        <v>CYTH1</v>
      </c>
      <c r="B4076" t="s">
        <v>6</v>
      </c>
    </row>
    <row r="4077" spans="1:2" x14ac:dyDescent="0.2">
      <c r="A4077" t="str">
        <f>"CYTH2"</f>
        <v>CYTH2</v>
      </c>
      <c r="B4077" t="s">
        <v>7</v>
      </c>
    </row>
    <row r="4078" spans="1:2" x14ac:dyDescent="0.2">
      <c r="A4078" t="str">
        <f>"CYTH3"</f>
        <v>CYTH3</v>
      </c>
      <c r="B4078" t="s">
        <v>7</v>
      </c>
    </row>
    <row r="4079" spans="1:2" x14ac:dyDescent="0.2">
      <c r="A4079" t="str">
        <f>"CYTH4"</f>
        <v>CYTH4</v>
      </c>
      <c r="B4079" t="s">
        <v>6</v>
      </c>
    </row>
    <row r="4080" spans="1:2" x14ac:dyDescent="0.2">
      <c r="A4080" t="str">
        <f>"CYTIP"</f>
        <v>CYTIP</v>
      </c>
      <c r="B4080" t="s">
        <v>4</v>
      </c>
    </row>
    <row r="4081" spans="1:2" x14ac:dyDescent="0.2">
      <c r="A4081" t="str">
        <f>"CYTL1"</f>
        <v>CYTL1</v>
      </c>
      <c r="B4081" t="s">
        <v>8</v>
      </c>
    </row>
    <row r="4082" spans="1:2" x14ac:dyDescent="0.2">
      <c r="A4082" t="str">
        <f>"CYYR1"</f>
        <v>CYYR1</v>
      </c>
      <c r="B4082" t="s">
        <v>5</v>
      </c>
    </row>
    <row r="4083" spans="1:2" x14ac:dyDescent="0.2">
      <c r="A4083" t="str">
        <f>"CYorf17"</f>
        <v>CYorf17</v>
      </c>
      <c r="B4083" t="s">
        <v>4</v>
      </c>
    </row>
    <row r="4084" spans="1:2" x14ac:dyDescent="0.2">
      <c r="A4084" t="str">
        <f>"D2HGDH"</f>
        <v>D2HGDH</v>
      </c>
      <c r="B4084" t="s">
        <v>6</v>
      </c>
    </row>
    <row r="4085" spans="1:2" x14ac:dyDescent="0.2">
      <c r="A4085" t="str">
        <f>"DAAM1"</f>
        <v>DAAM1</v>
      </c>
      <c r="B4085" t="s">
        <v>6</v>
      </c>
    </row>
    <row r="4086" spans="1:2" x14ac:dyDescent="0.2">
      <c r="A4086" t="str">
        <f>"DAAM2"</f>
        <v>DAAM2</v>
      </c>
      <c r="B4086" t="s">
        <v>2</v>
      </c>
    </row>
    <row r="4087" spans="1:2" x14ac:dyDescent="0.2">
      <c r="A4087" t="str">
        <f>"DAB1"</f>
        <v>DAB1</v>
      </c>
      <c r="B4087" t="s">
        <v>3</v>
      </c>
    </row>
    <row r="4088" spans="1:2" x14ac:dyDescent="0.2">
      <c r="A4088" t="str">
        <f>"DAB2"</f>
        <v>DAB2</v>
      </c>
      <c r="B4088" t="s">
        <v>3</v>
      </c>
    </row>
    <row r="4089" spans="1:2" x14ac:dyDescent="0.2">
      <c r="A4089" t="str">
        <f>"DAB2IP"</f>
        <v>DAB2IP</v>
      </c>
      <c r="B4089" t="s">
        <v>3</v>
      </c>
    </row>
    <row r="4090" spans="1:2" x14ac:dyDescent="0.2">
      <c r="A4090" t="str">
        <f>"DACH1"</f>
        <v>DACH1</v>
      </c>
      <c r="B4090" t="s">
        <v>8</v>
      </c>
    </row>
    <row r="4091" spans="1:2" x14ac:dyDescent="0.2">
      <c r="A4091" t="str">
        <f>"DACH2"</f>
        <v>DACH2</v>
      </c>
      <c r="B4091" t="s">
        <v>8</v>
      </c>
    </row>
    <row r="4092" spans="1:2" x14ac:dyDescent="0.2">
      <c r="A4092" t="str">
        <f>"DACT1"</f>
        <v>DACT1</v>
      </c>
      <c r="B4092" t="s">
        <v>3</v>
      </c>
    </row>
    <row r="4093" spans="1:2" x14ac:dyDescent="0.2">
      <c r="A4093" t="str">
        <f>"DACT2"</f>
        <v>DACT2</v>
      </c>
      <c r="B4093" t="s">
        <v>2</v>
      </c>
    </row>
    <row r="4094" spans="1:2" x14ac:dyDescent="0.2">
      <c r="A4094" t="str">
        <f>"DACT3"</f>
        <v>DACT3</v>
      </c>
      <c r="B4094" t="s">
        <v>4</v>
      </c>
    </row>
    <row r="4095" spans="1:2" x14ac:dyDescent="0.2">
      <c r="A4095" t="str">
        <f>"DAD1"</f>
        <v>DAD1</v>
      </c>
      <c r="B4095" t="s">
        <v>2</v>
      </c>
    </row>
    <row r="4096" spans="1:2" x14ac:dyDescent="0.2">
      <c r="A4096" t="str">
        <f>"DAG1"</f>
        <v>DAG1</v>
      </c>
      <c r="B4096" t="s">
        <v>2</v>
      </c>
    </row>
    <row r="4097" spans="1:2" x14ac:dyDescent="0.2">
      <c r="A4097" t="str">
        <f>"DAGLA"</f>
        <v>DAGLA</v>
      </c>
      <c r="B4097" t="s">
        <v>6</v>
      </c>
    </row>
    <row r="4098" spans="1:2" x14ac:dyDescent="0.2">
      <c r="A4098" t="str">
        <f>"DAGLB"</f>
        <v>DAGLB</v>
      </c>
      <c r="B4098" t="s">
        <v>2</v>
      </c>
    </row>
    <row r="4099" spans="1:2" x14ac:dyDescent="0.2">
      <c r="A4099" t="str">
        <f>"DAK"</f>
        <v>DAK</v>
      </c>
      <c r="B4099" t="s">
        <v>2</v>
      </c>
    </row>
    <row r="4100" spans="1:2" x14ac:dyDescent="0.2">
      <c r="A4100" t="str">
        <f>"DALRD3"</f>
        <v>DALRD3</v>
      </c>
      <c r="B4100" t="s">
        <v>2</v>
      </c>
    </row>
    <row r="4101" spans="1:2" x14ac:dyDescent="0.2">
      <c r="A4101" t="str">
        <f>"DAND5"</f>
        <v>DAND5</v>
      </c>
      <c r="B4101" t="s">
        <v>4</v>
      </c>
    </row>
    <row r="4102" spans="1:2" x14ac:dyDescent="0.2">
      <c r="A4102" t="str">
        <f>"DAO"</f>
        <v>DAO</v>
      </c>
      <c r="B4102" t="s">
        <v>7</v>
      </c>
    </row>
    <row r="4103" spans="1:2" x14ac:dyDescent="0.2">
      <c r="A4103" t="str">
        <f>"DAOA"</f>
        <v>DAOA</v>
      </c>
      <c r="B4103" t="s">
        <v>6</v>
      </c>
    </row>
    <row r="4104" spans="1:2" x14ac:dyDescent="0.2">
      <c r="A4104" t="str">
        <f>"DAP"</f>
        <v>DAP</v>
      </c>
      <c r="B4104" t="s">
        <v>3</v>
      </c>
    </row>
    <row r="4105" spans="1:2" x14ac:dyDescent="0.2">
      <c r="A4105" t="str">
        <f>"DAP3"</f>
        <v>DAP3</v>
      </c>
      <c r="B4105" t="s">
        <v>3</v>
      </c>
    </row>
    <row r="4106" spans="1:2" x14ac:dyDescent="0.2">
      <c r="A4106" t="str">
        <f>"DAPK1"</f>
        <v>DAPK1</v>
      </c>
      <c r="B4106" t="s">
        <v>7</v>
      </c>
    </row>
    <row r="4107" spans="1:2" x14ac:dyDescent="0.2">
      <c r="A4107" t="str">
        <f>"DAPK2"</f>
        <v>DAPK2</v>
      </c>
      <c r="B4107" t="s">
        <v>7</v>
      </c>
    </row>
    <row r="4108" spans="1:2" x14ac:dyDescent="0.2">
      <c r="A4108" t="str">
        <f>"DAPK3"</f>
        <v>DAPK3</v>
      </c>
      <c r="B4108" t="s">
        <v>7</v>
      </c>
    </row>
    <row r="4109" spans="1:2" x14ac:dyDescent="0.2">
      <c r="A4109" t="str">
        <f>"DAPL1"</f>
        <v>DAPL1</v>
      </c>
      <c r="B4109" t="s">
        <v>4</v>
      </c>
    </row>
    <row r="4110" spans="1:2" x14ac:dyDescent="0.2">
      <c r="A4110" t="str">
        <f>"DAPP1"</f>
        <v>DAPP1</v>
      </c>
      <c r="B4110" t="s">
        <v>7</v>
      </c>
    </row>
    <row r="4111" spans="1:2" x14ac:dyDescent="0.2">
      <c r="A4111" t="str">
        <f>"DARC"</f>
        <v>DARC</v>
      </c>
      <c r="B4111" t="s">
        <v>5</v>
      </c>
    </row>
    <row r="4112" spans="1:2" x14ac:dyDescent="0.2">
      <c r="A4112" t="str">
        <f>"DARS"</f>
        <v>DARS</v>
      </c>
      <c r="B4112" t="s">
        <v>7</v>
      </c>
    </row>
    <row r="4113" spans="1:2" x14ac:dyDescent="0.2">
      <c r="A4113" t="str">
        <f>"DARS2"</f>
        <v>DARS2</v>
      </c>
      <c r="B4113" t="s">
        <v>7</v>
      </c>
    </row>
    <row r="4114" spans="1:2" x14ac:dyDescent="0.2">
      <c r="A4114" t="str">
        <f>"DAW1"</f>
        <v>DAW1</v>
      </c>
      <c r="B4114" t="s">
        <v>4</v>
      </c>
    </row>
    <row r="4115" spans="1:2" x14ac:dyDescent="0.2">
      <c r="A4115" t="str">
        <f>"DAXX"</f>
        <v>DAXX</v>
      </c>
      <c r="B4115" t="s">
        <v>3</v>
      </c>
    </row>
    <row r="4116" spans="1:2" x14ac:dyDescent="0.2">
      <c r="A4116" t="str">
        <f>"DAZAP1"</f>
        <v>DAZAP1</v>
      </c>
      <c r="B4116" t="s">
        <v>6</v>
      </c>
    </row>
    <row r="4117" spans="1:2" x14ac:dyDescent="0.2">
      <c r="A4117" t="str">
        <f>"DAZAP2"</f>
        <v>DAZAP2</v>
      </c>
      <c r="B4117" t="s">
        <v>6</v>
      </c>
    </row>
    <row r="4118" spans="1:2" x14ac:dyDescent="0.2">
      <c r="A4118" t="str">
        <f>"DAZL"</f>
        <v>DAZL</v>
      </c>
      <c r="B4118" t="s">
        <v>2</v>
      </c>
    </row>
    <row r="4119" spans="1:2" x14ac:dyDescent="0.2">
      <c r="A4119" t="str">
        <f>"DBF4"</f>
        <v>DBF4</v>
      </c>
      <c r="B4119" t="s">
        <v>7</v>
      </c>
    </row>
    <row r="4120" spans="1:2" x14ac:dyDescent="0.2">
      <c r="A4120" t="str">
        <f>"DBF4B"</f>
        <v>DBF4B</v>
      </c>
      <c r="B4120" t="s">
        <v>4</v>
      </c>
    </row>
    <row r="4121" spans="1:2" x14ac:dyDescent="0.2">
      <c r="A4121" t="str">
        <f>"DBH"</f>
        <v>DBH</v>
      </c>
      <c r="B4121" t="s">
        <v>7</v>
      </c>
    </row>
    <row r="4122" spans="1:2" x14ac:dyDescent="0.2">
      <c r="A4122" t="str">
        <f>"DBI"</f>
        <v>DBI</v>
      </c>
      <c r="B4122" t="s">
        <v>7</v>
      </c>
    </row>
    <row r="4123" spans="1:2" x14ac:dyDescent="0.2">
      <c r="A4123" t="str">
        <f>"DBN1"</f>
        <v>DBN1</v>
      </c>
      <c r="B4123" t="s">
        <v>6</v>
      </c>
    </row>
    <row r="4124" spans="1:2" x14ac:dyDescent="0.2">
      <c r="A4124" t="str">
        <f>"DBNDD1"</f>
        <v>DBNDD1</v>
      </c>
      <c r="B4124" t="s">
        <v>4</v>
      </c>
    </row>
    <row r="4125" spans="1:2" x14ac:dyDescent="0.2">
      <c r="A4125" t="str">
        <f>"DBNDD2"</f>
        <v>DBNDD2</v>
      </c>
      <c r="B4125" t="s">
        <v>4</v>
      </c>
    </row>
    <row r="4126" spans="1:2" x14ac:dyDescent="0.2">
      <c r="A4126" t="str">
        <f>"DBNL"</f>
        <v>DBNL</v>
      </c>
      <c r="B4126" t="s">
        <v>2</v>
      </c>
    </row>
    <row r="4127" spans="1:2" x14ac:dyDescent="0.2">
      <c r="A4127" t="str">
        <f>"DBP"</f>
        <v>DBP</v>
      </c>
      <c r="B4127" t="s">
        <v>3</v>
      </c>
    </row>
    <row r="4128" spans="1:2" x14ac:dyDescent="0.2">
      <c r="A4128" t="str">
        <f>"DBR1"</f>
        <v>DBR1</v>
      </c>
      <c r="B4128" t="s">
        <v>8</v>
      </c>
    </row>
    <row r="4129" spans="1:2" x14ac:dyDescent="0.2">
      <c r="A4129" t="str">
        <f>"DBT"</f>
        <v>DBT</v>
      </c>
      <c r="B4129" t="s">
        <v>6</v>
      </c>
    </row>
    <row r="4130" spans="1:2" x14ac:dyDescent="0.2">
      <c r="A4130" t="str">
        <f>"DBX1"</f>
        <v>DBX1</v>
      </c>
      <c r="B4130" t="s">
        <v>8</v>
      </c>
    </row>
    <row r="4131" spans="1:2" x14ac:dyDescent="0.2">
      <c r="A4131" t="str">
        <f>"DBX2"</f>
        <v>DBX2</v>
      </c>
      <c r="B4131" t="s">
        <v>8</v>
      </c>
    </row>
    <row r="4132" spans="1:2" x14ac:dyDescent="0.2">
      <c r="A4132" t="str">
        <f>"DCAF10"</f>
        <v>DCAF10</v>
      </c>
      <c r="B4132" t="s">
        <v>2</v>
      </c>
    </row>
    <row r="4133" spans="1:2" x14ac:dyDescent="0.2">
      <c r="A4133" t="str">
        <f>"DCAF11"</f>
        <v>DCAF11</v>
      </c>
      <c r="B4133" t="s">
        <v>2</v>
      </c>
    </row>
    <row r="4134" spans="1:2" x14ac:dyDescent="0.2">
      <c r="A4134" t="str">
        <f>"DCAF12"</f>
        <v>DCAF12</v>
      </c>
      <c r="B4134" t="s">
        <v>2</v>
      </c>
    </row>
    <row r="4135" spans="1:2" x14ac:dyDescent="0.2">
      <c r="A4135" t="str">
        <f>"DCAF12L1"</f>
        <v>DCAF12L1</v>
      </c>
      <c r="B4135" t="s">
        <v>3</v>
      </c>
    </row>
    <row r="4136" spans="1:2" x14ac:dyDescent="0.2">
      <c r="A4136" t="str">
        <f>"DCAF12L2"</f>
        <v>DCAF12L2</v>
      </c>
      <c r="B4136" t="s">
        <v>3</v>
      </c>
    </row>
    <row r="4137" spans="1:2" x14ac:dyDescent="0.2">
      <c r="A4137" t="str">
        <f>"DCAF13"</f>
        <v>DCAF13</v>
      </c>
      <c r="B4137" t="s">
        <v>2</v>
      </c>
    </row>
    <row r="4138" spans="1:2" x14ac:dyDescent="0.2">
      <c r="A4138" t="str">
        <f>"DCAF15"</f>
        <v>DCAF15</v>
      </c>
      <c r="B4138" t="s">
        <v>2</v>
      </c>
    </row>
    <row r="4139" spans="1:2" x14ac:dyDescent="0.2">
      <c r="A4139" t="str">
        <f>"DCAF16"</f>
        <v>DCAF16</v>
      </c>
      <c r="B4139" t="s">
        <v>2</v>
      </c>
    </row>
    <row r="4140" spans="1:2" x14ac:dyDescent="0.2">
      <c r="A4140" t="str">
        <f>"DCAF17"</f>
        <v>DCAF17</v>
      </c>
      <c r="B4140" t="s">
        <v>2</v>
      </c>
    </row>
    <row r="4141" spans="1:2" x14ac:dyDescent="0.2">
      <c r="A4141" t="str">
        <f>"DCAF4"</f>
        <v>DCAF4</v>
      </c>
      <c r="B4141" t="s">
        <v>3</v>
      </c>
    </row>
    <row r="4142" spans="1:2" x14ac:dyDescent="0.2">
      <c r="A4142" t="str">
        <f>"DCAF4L1"</f>
        <v>DCAF4L1</v>
      </c>
      <c r="B4142" t="s">
        <v>2</v>
      </c>
    </row>
    <row r="4143" spans="1:2" x14ac:dyDescent="0.2">
      <c r="A4143" t="str">
        <f>"DCAF4L2"</f>
        <v>DCAF4L2</v>
      </c>
      <c r="B4143" t="s">
        <v>2</v>
      </c>
    </row>
    <row r="4144" spans="1:2" x14ac:dyDescent="0.2">
      <c r="A4144" t="str">
        <f>"DCAF5"</f>
        <v>DCAF5</v>
      </c>
      <c r="B4144" t="s">
        <v>6</v>
      </c>
    </row>
    <row r="4145" spans="1:2" x14ac:dyDescent="0.2">
      <c r="A4145" t="str">
        <f>"DCAF6"</f>
        <v>DCAF6</v>
      </c>
      <c r="B4145" t="s">
        <v>8</v>
      </c>
    </row>
    <row r="4146" spans="1:2" x14ac:dyDescent="0.2">
      <c r="A4146" t="str">
        <f>"DCAF7"</f>
        <v>DCAF7</v>
      </c>
      <c r="B4146" t="s">
        <v>2</v>
      </c>
    </row>
    <row r="4147" spans="1:2" x14ac:dyDescent="0.2">
      <c r="A4147" t="str">
        <f>"DCAF8"</f>
        <v>DCAF8</v>
      </c>
      <c r="B4147" t="s">
        <v>2</v>
      </c>
    </row>
    <row r="4148" spans="1:2" x14ac:dyDescent="0.2">
      <c r="A4148" t="str">
        <f>"DCAF8L1"</f>
        <v>DCAF8L1</v>
      </c>
      <c r="B4148" t="s">
        <v>2</v>
      </c>
    </row>
    <row r="4149" spans="1:2" x14ac:dyDescent="0.2">
      <c r="A4149" t="str">
        <f>"DCAF8L2"</f>
        <v>DCAF8L2</v>
      </c>
      <c r="B4149" t="s">
        <v>2</v>
      </c>
    </row>
    <row r="4150" spans="1:2" x14ac:dyDescent="0.2">
      <c r="A4150" t="str">
        <f>"DCAKD"</f>
        <v>DCAKD</v>
      </c>
      <c r="B4150" t="s">
        <v>6</v>
      </c>
    </row>
    <row r="4151" spans="1:2" x14ac:dyDescent="0.2">
      <c r="A4151" t="str">
        <f>"DCBLD1"</f>
        <v>DCBLD1</v>
      </c>
      <c r="B4151" t="s">
        <v>5</v>
      </c>
    </row>
    <row r="4152" spans="1:2" x14ac:dyDescent="0.2">
      <c r="A4152" t="str">
        <f>"DCBLD2"</f>
        <v>DCBLD2</v>
      </c>
      <c r="B4152" t="s">
        <v>5</v>
      </c>
    </row>
    <row r="4153" spans="1:2" x14ac:dyDescent="0.2">
      <c r="A4153" t="str">
        <f>"DCC"</f>
        <v>DCC</v>
      </c>
      <c r="B4153" t="s">
        <v>3</v>
      </c>
    </row>
    <row r="4154" spans="1:2" x14ac:dyDescent="0.2">
      <c r="A4154" t="str">
        <f>"DCD"</f>
        <v>DCD</v>
      </c>
      <c r="B4154" t="s">
        <v>7</v>
      </c>
    </row>
    <row r="4155" spans="1:2" x14ac:dyDescent="0.2">
      <c r="A4155" t="str">
        <f>"DCDC1"</f>
        <v>DCDC1</v>
      </c>
      <c r="B4155" t="s">
        <v>4</v>
      </c>
    </row>
    <row r="4156" spans="1:2" x14ac:dyDescent="0.2">
      <c r="A4156" t="str">
        <f>"DCDC2"</f>
        <v>DCDC2</v>
      </c>
      <c r="B4156" t="s">
        <v>8</v>
      </c>
    </row>
    <row r="4157" spans="1:2" x14ac:dyDescent="0.2">
      <c r="A4157" t="str">
        <f>"DCDC2B"</f>
        <v>DCDC2B</v>
      </c>
      <c r="B4157" t="s">
        <v>4</v>
      </c>
    </row>
    <row r="4158" spans="1:2" x14ac:dyDescent="0.2">
      <c r="A4158" t="str">
        <f>"DCDC2C"</f>
        <v>DCDC2C</v>
      </c>
      <c r="B4158" t="s">
        <v>4</v>
      </c>
    </row>
    <row r="4159" spans="1:2" x14ac:dyDescent="0.2">
      <c r="A4159" t="str">
        <f>"DCDC5"</f>
        <v>DCDC5</v>
      </c>
      <c r="B4159" t="s">
        <v>4</v>
      </c>
    </row>
    <row r="4160" spans="1:2" x14ac:dyDescent="0.2">
      <c r="A4160" t="str">
        <f>"DCHS1"</f>
        <v>DCHS1</v>
      </c>
      <c r="B4160" t="s">
        <v>5</v>
      </c>
    </row>
    <row r="4161" spans="1:2" x14ac:dyDescent="0.2">
      <c r="A4161" t="str">
        <f>"DCHS2"</f>
        <v>DCHS2</v>
      </c>
      <c r="B4161" t="s">
        <v>5</v>
      </c>
    </row>
    <row r="4162" spans="1:2" x14ac:dyDescent="0.2">
      <c r="A4162" t="str">
        <f>"DCK"</f>
        <v>DCK</v>
      </c>
      <c r="B4162" t="s">
        <v>7</v>
      </c>
    </row>
    <row r="4163" spans="1:2" x14ac:dyDescent="0.2">
      <c r="A4163" t="str">
        <f>"DCLK1"</f>
        <v>DCLK1</v>
      </c>
      <c r="B4163" t="s">
        <v>7</v>
      </c>
    </row>
    <row r="4164" spans="1:2" x14ac:dyDescent="0.2">
      <c r="A4164" t="str">
        <f>"DCLK2"</f>
        <v>DCLK2</v>
      </c>
      <c r="B4164" t="s">
        <v>7</v>
      </c>
    </row>
    <row r="4165" spans="1:2" x14ac:dyDescent="0.2">
      <c r="A4165" t="str">
        <f>"DCLK3"</f>
        <v>DCLK3</v>
      </c>
      <c r="B4165" t="s">
        <v>7</v>
      </c>
    </row>
    <row r="4166" spans="1:2" x14ac:dyDescent="0.2">
      <c r="A4166" t="str">
        <f>"DCLRE1A"</f>
        <v>DCLRE1A</v>
      </c>
      <c r="B4166" t="s">
        <v>3</v>
      </c>
    </row>
    <row r="4167" spans="1:2" x14ac:dyDescent="0.2">
      <c r="A4167" t="str">
        <f>"DCLRE1B"</f>
        <v>DCLRE1B</v>
      </c>
      <c r="B4167" t="s">
        <v>3</v>
      </c>
    </row>
    <row r="4168" spans="1:2" x14ac:dyDescent="0.2">
      <c r="A4168" t="str">
        <f>"DCLRE1C"</f>
        <v>DCLRE1C</v>
      </c>
      <c r="B4168" t="s">
        <v>3</v>
      </c>
    </row>
    <row r="4169" spans="1:2" x14ac:dyDescent="0.2">
      <c r="A4169" t="str">
        <f>"DCN"</f>
        <v>DCN</v>
      </c>
      <c r="B4169" t="s">
        <v>3</v>
      </c>
    </row>
    <row r="4170" spans="1:2" x14ac:dyDescent="0.2">
      <c r="A4170" t="str">
        <f>"DCP1A"</f>
        <v>DCP1A</v>
      </c>
      <c r="B4170" t="s">
        <v>8</v>
      </c>
    </row>
    <row r="4171" spans="1:2" x14ac:dyDescent="0.2">
      <c r="A4171" t="str">
        <f>"DCP1B"</f>
        <v>DCP1B</v>
      </c>
      <c r="B4171" t="s">
        <v>4</v>
      </c>
    </row>
    <row r="4172" spans="1:2" x14ac:dyDescent="0.2">
      <c r="A4172" t="str">
        <f>"DCP2"</f>
        <v>DCP2</v>
      </c>
      <c r="B4172" t="s">
        <v>8</v>
      </c>
    </row>
    <row r="4173" spans="1:2" x14ac:dyDescent="0.2">
      <c r="A4173" t="str">
        <f>"DCPS"</f>
        <v>DCPS</v>
      </c>
      <c r="B4173" t="s">
        <v>7</v>
      </c>
    </row>
    <row r="4174" spans="1:2" x14ac:dyDescent="0.2">
      <c r="A4174" t="str">
        <f>"DCST1"</f>
        <v>DCST1</v>
      </c>
      <c r="B4174" t="s">
        <v>2</v>
      </c>
    </row>
    <row r="4175" spans="1:2" x14ac:dyDescent="0.2">
      <c r="A4175" t="str">
        <f>"DCST2"</f>
        <v>DCST2</v>
      </c>
      <c r="B4175" t="s">
        <v>5</v>
      </c>
    </row>
    <row r="4176" spans="1:2" x14ac:dyDescent="0.2">
      <c r="A4176" t="str">
        <f>"DCSTAMP"</f>
        <v>DCSTAMP</v>
      </c>
      <c r="B4176" t="s">
        <v>6</v>
      </c>
    </row>
    <row r="4177" spans="1:2" x14ac:dyDescent="0.2">
      <c r="A4177" t="str">
        <f>"DCT"</f>
        <v>DCT</v>
      </c>
      <c r="B4177" t="s">
        <v>3</v>
      </c>
    </row>
    <row r="4178" spans="1:2" x14ac:dyDescent="0.2">
      <c r="A4178" t="str">
        <f>"DCTD"</f>
        <v>DCTD</v>
      </c>
      <c r="B4178" t="s">
        <v>7</v>
      </c>
    </row>
    <row r="4179" spans="1:2" x14ac:dyDescent="0.2">
      <c r="A4179" t="str">
        <f>"DCTN1"</f>
        <v>DCTN1</v>
      </c>
      <c r="B4179" t="s">
        <v>8</v>
      </c>
    </row>
    <row r="4180" spans="1:2" x14ac:dyDescent="0.2">
      <c r="A4180" t="str">
        <f>"DCTN2"</f>
        <v>DCTN2</v>
      </c>
      <c r="B4180" t="s">
        <v>3</v>
      </c>
    </row>
    <row r="4181" spans="1:2" x14ac:dyDescent="0.2">
      <c r="A4181" t="str">
        <f>"DCTN3"</f>
        <v>DCTN3</v>
      </c>
      <c r="B4181" t="s">
        <v>3</v>
      </c>
    </row>
    <row r="4182" spans="1:2" x14ac:dyDescent="0.2">
      <c r="A4182" t="str">
        <f>"DCTN4"</f>
        <v>DCTN4</v>
      </c>
      <c r="B4182" t="s">
        <v>3</v>
      </c>
    </row>
    <row r="4183" spans="1:2" x14ac:dyDescent="0.2">
      <c r="A4183" t="str">
        <f>"DCTN5"</f>
        <v>DCTN5</v>
      </c>
      <c r="B4183" t="s">
        <v>6</v>
      </c>
    </row>
    <row r="4184" spans="1:2" x14ac:dyDescent="0.2">
      <c r="A4184" t="str">
        <f>"DCTN6"</f>
        <v>DCTN6</v>
      </c>
      <c r="B4184" t="s">
        <v>6</v>
      </c>
    </row>
    <row r="4185" spans="1:2" x14ac:dyDescent="0.2">
      <c r="A4185" t="str">
        <f>"DCTPP1"</f>
        <v>DCTPP1</v>
      </c>
      <c r="B4185" t="s">
        <v>4</v>
      </c>
    </row>
    <row r="4186" spans="1:2" x14ac:dyDescent="0.2">
      <c r="A4186" t="str">
        <f>"DCUN1D1"</f>
        <v>DCUN1D1</v>
      </c>
      <c r="B4186" t="s">
        <v>2</v>
      </c>
    </row>
    <row r="4187" spans="1:2" x14ac:dyDescent="0.2">
      <c r="A4187" t="str">
        <f>"DCUN1D2"</f>
        <v>DCUN1D2</v>
      </c>
      <c r="B4187" t="s">
        <v>2</v>
      </c>
    </row>
    <row r="4188" spans="1:2" x14ac:dyDescent="0.2">
      <c r="A4188" t="str">
        <f>"DCUN1D3"</f>
        <v>DCUN1D3</v>
      </c>
      <c r="B4188" t="s">
        <v>2</v>
      </c>
    </row>
    <row r="4189" spans="1:2" x14ac:dyDescent="0.2">
      <c r="A4189" t="str">
        <f>"DCUN1D4"</f>
        <v>DCUN1D4</v>
      </c>
      <c r="B4189" t="s">
        <v>2</v>
      </c>
    </row>
    <row r="4190" spans="1:2" x14ac:dyDescent="0.2">
      <c r="A4190" t="str">
        <f>"DCUN1D5"</f>
        <v>DCUN1D5</v>
      </c>
      <c r="B4190" t="s">
        <v>2</v>
      </c>
    </row>
    <row r="4191" spans="1:2" x14ac:dyDescent="0.2">
      <c r="A4191" t="str">
        <f>"DCX"</f>
        <v>DCX</v>
      </c>
      <c r="B4191" t="s">
        <v>3</v>
      </c>
    </row>
    <row r="4192" spans="1:2" x14ac:dyDescent="0.2">
      <c r="A4192" t="str">
        <f>"DCXR"</f>
        <v>DCXR</v>
      </c>
      <c r="B4192" t="s">
        <v>7</v>
      </c>
    </row>
    <row r="4193" spans="1:2" x14ac:dyDescent="0.2">
      <c r="A4193" t="str">
        <f>"DDA1"</f>
        <v>DDA1</v>
      </c>
      <c r="B4193" t="s">
        <v>2</v>
      </c>
    </row>
    <row r="4194" spans="1:2" x14ac:dyDescent="0.2">
      <c r="A4194" t="str">
        <f>"DDAH1"</f>
        <v>DDAH1</v>
      </c>
      <c r="B4194" t="s">
        <v>7</v>
      </c>
    </row>
    <row r="4195" spans="1:2" x14ac:dyDescent="0.2">
      <c r="A4195" t="str">
        <f>"DDAH2"</f>
        <v>DDAH2</v>
      </c>
      <c r="B4195" t="s">
        <v>7</v>
      </c>
    </row>
    <row r="4196" spans="1:2" x14ac:dyDescent="0.2">
      <c r="A4196" t="str">
        <f>"DDB1"</f>
        <v>DDB1</v>
      </c>
      <c r="B4196" t="s">
        <v>3</v>
      </c>
    </row>
    <row r="4197" spans="1:2" x14ac:dyDescent="0.2">
      <c r="A4197" t="str">
        <f>"DDB2"</f>
        <v>DDB2</v>
      </c>
      <c r="B4197" t="s">
        <v>3</v>
      </c>
    </row>
    <row r="4198" spans="1:2" x14ac:dyDescent="0.2">
      <c r="A4198" t="str">
        <f>"DDC"</f>
        <v>DDC</v>
      </c>
      <c r="B4198" t="s">
        <v>7</v>
      </c>
    </row>
    <row r="4199" spans="1:2" x14ac:dyDescent="0.2">
      <c r="A4199" t="str">
        <f>"DDHD1"</f>
        <v>DDHD1</v>
      </c>
      <c r="B4199" t="s">
        <v>6</v>
      </c>
    </row>
    <row r="4200" spans="1:2" x14ac:dyDescent="0.2">
      <c r="A4200" t="str">
        <f>"DDHD2"</f>
        <v>DDHD2</v>
      </c>
      <c r="B4200" t="s">
        <v>2</v>
      </c>
    </row>
    <row r="4201" spans="1:2" x14ac:dyDescent="0.2">
      <c r="A4201" t="str">
        <f>"DDI1"</f>
        <v>DDI1</v>
      </c>
      <c r="B4201" t="s">
        <v>2</v>
      </c>
    </row>
    <row r="4202" spans="1:2" x14ac:dyDescent="0.2">
      <c r="A4202" t="str">
        <f>"DDI2"</f>
        <v>DDI2</v>
      </c>
      <c r="B4202" t="s">
        <v>2</v>
      </c>
    </row>
    <row r="4203" spans="1:2" x14ac:dyDescent="0.2">
      <c r="A4203" t="str">
        <f>"DDIT3"</f>
        <v>DDIT3</v>
      </c>
      <c r="B4203" t="s">
        <v>2</v>
      </c>
    </row>
    <row r="4204" spans="1:2" x14ac:dyDescent="0.2">
      <c r="A4204" t="str">
        <f>"DDIT4"</f>
        <v>DDIT4</v>
      </c>
      <c r="B4204" t="s">
        <v>3</v>
      </c>
    </row>
    <row r="4205" spans="1:2" x14ac:dyDescent="0.2">
      <c r="A4205" t="str">
        <f>"DDIT4L"</f>
        <v>DDIT4L</v>
      </c>
      <c r="B4205" t="s">
        <v>4</v>
      </c>
    </row>
    <row r="4206" spans="1:2" x14ac:dyDescent="0.2">
      <c r="A4206" t="str">
        <f>"DDN"</f>
        <v>DDN</v>
      </c>
      <c r="B4206" t="s">
        <v>2</v>
      </c>
    </row>
    <row r="4207" spans="1:2" x14ac:dyDescent="0.2">
      <c r="A4207" t="str">
        <f>"DDO"</f>
        <v>DDO</v>
      </c>
      <c r="B4207" t="s">
        <v>3</v>
      </c>
    </row>
    <row r="4208" spans="1:2" x14ac:dyDescent="0.2">
      <c r="A4208" t="str">
        <f>"DDOST"</f>
        <v>DDOST</v>
      </c>
      <c r="B4208" t="s">
        <v>2</v>
      </c>
    </row>
    <row r="4209" spans="1:2" x14ac:dyDescent="0.2">
      <c r="A4209" t="str">
        <f>"DDR1"</f>
        <v>DDR1</v>
      </c>
      <c r="B4209" t="s">
        <v>7</v>
      </c>
    </row>
    <row r="4210" spans="1:2" x14ac:dyDescent="0.2">
      <c r="A4210" t="str">
        <f>"DDR2"</f>
        <v>DDR2</v>
      </c>
      <c r="B4210" t="s">
        <v>7</v>
      </c>
    </row>
    <row r="4211" spans="1:2" x14ac:dyDescent="0.2">
      <c r="A4211" t="str">
        <f>"DDRGK1"</f>
        <v>DDRGK1</v>
      </c>
      <c r="B4211" t="s">
        <v>6</v>
      </c>
    </row>
    <row r="4212" spans="1:2" x14ac:dyDescent="0.2">
      <c r="A4212" t="str">
        <f>"DDT"</f>
        <v>DDT</v>
      </c>
      <c r="B4212" t="s">
        <v>6</v>
      </c>
    </row>
    <row r="4213" spans="1:2" x14ac:dyDescent="0.2">
      <c r="A4213" t="str">
        <f>"DDTL"</f>
        <v>DDTL</v>
      </c>
      <c r="B4213" t="s">
        <v>4</v>
      </c>
    </row>
    <row r="4214" spans="1:2" x14ac:dyDescent="0.2">
      <c r="A4214" t="str">
        <f>"DDX1"</f>
        <v>DDX1</v>
      </c>
      <c r="B4214" t="s">
        <v>6</v>
      </c>
    </row>
    <row r="4215" spans="1:2" x14ac:dyDescent="0.2">
      <c r="A4215" t="str">
        <f>"DDX10"</f>
        <v>DDX10</v>
      </c>
      <c r="B4215" t="s">
        <v>3</v>
      </c>
    </row>
    <row r="4216" spans="1:2" x14ac:dyDescent="0.2">
      <c r="A4216" t="str">
        <f>"DDX11"</f>
        <v>DDX11</v>
      </c>
      <c r="B4216" t="s">
        <v>3</v>
      </c>
    </row>
    <row r="4217" spans="1:2" x14ac:dyDescent="0.2">
      <c r="A4217" t="str">
        <f>"DDX17"</f>
        <v>DDX17</v>
      </c>
      <c r="B4217" t="s">
        <v>8</v>
      </c>
    </row>
    <row r="4218" spans="1:2" x14ac:dyDescent="0.2">
      <c r="A4218" t="str">
        <f>"DDX18"</f>
        <v>DDX18</v>
      </c>
      <c r="B4218" t="s">
        <v>3</v>
      </c>
    </row>
    <row r="4219" spans="1:2" x14ac:dyDescent="0.2">
      <c r="A4219" t="str">
        <f>"DDX19A"</f>
        <v>DDX19A</v>
      </c>
      <c r="B4219" t="s">
        <v>6</v>
      </c>
    </row>
    <row r="4220" spans="1:2" x14ac:dyDescent="0.2">
      <c r="A4220" t="str">
        <f>"DDX19B"</f>
        <v>DDX19B</v>
      </c>
      <c r="B4220" t="s">
        <v>6</v>
      </c>
    </row>
    <row r="4221" spans="1:2" x14ac:dyDescent="0.2">
      <c r="A4221" t="str">
        <f>"DDX20"</f>
        <v>DDX20</v>
      </c>
      <c r="B4221" t="s">
        <v>3</v>
      </c>
    </row>
    <row r="4222" spans="1:2" x14ac:dyDescent="0.2">
      <c r="A4222" t="str">
        <f>"DDX21"</f>
        <v>DDX21</v>
      </c>
      <c r="B4222" t="s">
        <v>8</v>
      </c>
    </row>
    <row r="4223" spans="1:2" x14ac:dyDescent="0.2">
      <c r="A4223" t="str">
        <f>"DDX23"</f>
        <v>DDX23</v>
      </c>
      <c r="B4223" t="s">
        <v>3</v>
      </c>
    </row>
    <row r="4224" spans="1:2" x14ac:dyDescent="0.2">
      <c r="A4224" t="str">
        <f>"DDX24"</f>
        <v>DDX24</v>
      </c>
      <c r="B4224" t="s">
        <v>8</v>
      </c>
    </row>
    <row r="4225" spans="1:2" x14ac:dyDescent="0.2">
      <c r="A4225" t="str">
        <f>"DDX25"</f>
        <v>DDX25</v>
      </c>
      <c r="B4225" t="s">
        <v>8</v>
      </c>
    </row>
    <row r="4226" spans="1:2" x14ac:dyDescent="0.2">
      <c r="A4226" t="str">
        <f>"DDX26B"</f>
        <v>DDX26B</v>
      </c>
      <c r="B4226" t="s">
        <v>4</v>
      </c>
    </row>
    <row r="4227" spans="1:2" x14ac:dyDescent="0.2">
      <c r="A4227" t="str">
        <f>"DDX27"</f>
        <v>DDX27</v>
      </c>
      <c r="B4227" t="s">
        <v>8</v>
      </c>
    </row>
    <row r="4228" spans="1:2" x14ac:dyDescent="0.2">
      <c r="A4228" t="str">
        <f>"DDX28"</f>
        <v>DDX28</v>
      </c>
      <c r="B4228" t="s">
        <v>6</v>
      </c>
    </row>
    <row r="4229" spans="1:2" x14ac:dyDescent="0.2">
      <c r="A4229" t="str">
        <f>"DDX31"</f>
        <v>DDX31</v>
      </c>
      <c r="B4229" t="s">
        <v>2</v>
      </c>
    </row>
    <row r="4230" spans="1:2" x14ac:dyDescent="0.2">
      <c r="A4230" t="str">
        <f>"DDX39A"</f>
        <v>DDX39A</v>
      </c>
      <c r="B4230" t="s">
        <v>2</v>
      </c>
    </row>
    <row r="4231" spans="1:2" x14ac:dyDescent="0.2">
      <c r="A4231" t="str">
        <f>"DDX39B"</f>
        <v>DDX39B</v>
      </c>
      <c r="B4231" t="s">
        <v>7</v>
      </c>
    </row>
    <row r="4232" spans="1:2" x14ac:dyDescent="0.2">
      <c r="A4232" t="str">
        <f>"DDX3X"</f>
        <v>DDX3X</v>
      </c>
      <c r="B4232" t="s">
        <v>2</v>
      </c>
    </row>
    <row r="4233" spans="1:2" x14ac:dyDescent="0.2">
      <c r="A4233" t="str">
        <f>"DDX3Y"</f>
        <v>DDX3Y</v>
      </c>
      <c r="B4233" t="s">
        <v>3</v>
      </c>
    </row>
    <row r="4234" spans="1:2" x14ac:dyDescent="0.2">
      <c r="A4234" t="str">
        <f>"DDX4"</f>
        <v>DDX4</v>
      </c>
      <c r="B4234" t="s">
        <v>3</v>
      </c>
    </row>
    <row r="4235" spans="1:2" x14ac:dyDescent="0.2">
      <c r="A4235" t="str">
        <f>"DDX41"</f>
        <v>DDX41</v>
      </c>
      <c r="B4235" t="s">
        <v>8</v>
      </c>
    </row>
    <row r="4236" spans="1:2" x14ac:dyDescent="0.2">
      <c r="A4236" t="str">
        <f>"DDX42"</f>
        <v>DDX42</v>
      </c>
      <c r="B4236" t="s">
        <v>2</v>
      </c>
    </row>
    <row r="4237" spans="1:2" x14ac:dyDescent="0.2">
      <c r="A4237" t="str">
        <f>"DDX43"</f>
        <v>DDX43</v>
      </c>
      <c r="B4237" t="s">
        <v>8</v>
      </c>
    </row>
    <row r="4238" spans="1:2" x14ac:dyDescent="0.2">
      <c r="A4238" t="str">
        <f>"DDX46"</f>
        <v>DDX46</v>
      </c>
      <c r="B4238" t="s">
        <v>8</v>
      </c>
    </row>
    <row r="4239" spans="1:2" x14ac:dyDescent="0.2">
      <c r="A4239" t="str">
        <f>"DDX47"</f>
        <v>DDX47</v>
      </c>
      <c r="B4239" t="s">
        <v>8</v>
      </c>
    </row>
    <row r="4240" spans="1:2" x14ac:dyDescent="0.2">
      <c r="A4240" t="str">
        <f>"DDX49"</f>
        <v>DDX49</v>
      </c>
      <c r="B4240" t="s">
        <v>2</v>
      </c>
    </row>
    <row r="4241" spans="1:2" x14ac:dyDescent="0.2">
      <c r="A4241" t="str">
        <f>"DDX5"</f>
        <v>DDX5</v>
      </c>
      <c r="B4241" t="s">
        <v>2</v>
      </c>
    </row>
    <row r="4242" spans="1:2" x14ac:dyDescent="0.2">
      <c r="A4242" t="str">
        <f>"DDX50"</f>
        <v>DDX50</v>
      </c>
      <c r="B4242" t="s">
        <v>8</v>
      </c>
    </row>
    <row r="4243" spans="1:2" x14ac:dyDescent="0.2">
      <c r="A4243" t="str">
        <f>"DDX51"</f>
        <v>DDX51</v>
      </c>
      <c r="B4243" t="s">
        <v>8</v>
      </c>
    </row>
    <row r="4244" spans="1:2" x14ac:dyDescent="0.2">
      <c r="A4244" t="str">
        <f>"DDX52"</f>
        <v>DDX52</v>
      </c>
      <c r="B4244" t="s">
        <v>2</v>
      </c>
    </row>
    <row r="4245" spans="1:2" x14ac:dyDescent="0.2">
      <c r="A4245" t="str">
        <f>"DDX53"</f>
        <v>DDX53</v>
      </c>
      <c r="B4245" t="s">
        <v>8</v>
      </c>
    </row>
    <row r="4246" spans="1:2" x14ac:dyDescent="0.2">
      <c r="A4246" t="str">
        <f>"DDX54"</f>
        <v>DDX54</v>
      </c>
      <c r="B4246" t="s">
        <v>3</v>
      </c>
    </row>
    <row r="4247" spans="1:2" x14ac:dyDescent="0.2">
      <c r="A4247" t="str">
        <f>"DDX55"</f>
        <v>DDX55</v>
      </c>
      <c r="B4247" t="s">
        <v>8</v>
      </c>
    </row>
    <row r="4248" spans="1:2" x14ac:dyDescent="0.2">
      <c r="A4248" t="str">
        <f>"DDX56"</f>
        <v>DDX56</v>
      </c>
      <c r="B4248" t="s">
        <v>8</v>
      </c>
    </row>
    <row r="4249" spans="1:2" x14ac:dyDescent="0.2">
      <c r="A4249" t="str">
        <f>"DDX58"</f>
        <v>DDX58</v>
      </c>
      <c r="B4249" t="s">
        <v>8</v>
      </c>
    </row>
    <row r="4250" spans="1:2" x14ac:dyDescent="0.2">
      <c r="A4250" t="str">
        <f>"DDX59"</f>
        <v>DDX59</v>
      </c>
      <c r="B4250" t="s">
        <v>8</v>
      </c>
    </row>
    <row r="4251" spans="1:2" x14ac:dyDescent="0.2">
      <c r="A4251" t="str">
        <f>"DDX6"</f>
        <v>DDX6</v>
      </c>
      <c r="B4251" t="s">
        <v>3</v>
      </c>
    </row>
    <row r="4252" spans="1:2" x14ac:dyDescent="0.2">
      <c r="A4252" t="str">
        <f>"DDX60"</f>
        <v>DDX60</v>
      </c>
      <c r="B4252" t="s">
        <v>8</v>
      </c>
    </row>
    <row r="4253" spans="1:2" x14ac:dyDescent="0.2">
      <c r="A4253" t="str">
        <f>"DDX60L"</f>
        <v>DDX60L</v>
      </c>
      <c r="B4253" t="s">
        <v>4</v>
      </c>
    </row>
    <row r="4254" spans="1:2" x14ac:dyDescent="0.2">
      <c r="A4254" t="str">
        <f>"DEAF1"</f>
        <v>DEAF1</v>
      </c>
      <c r="B4254" t="s">
        <v>8</v>
      </c>
    </row>
    <row r="4255" spans="1:2" x14ac:dyDescent="0.2">
      <c r="A4255" t="str">
        <f>"DEC1"</f>
        <v>DEC1</v>
      </c>
      <c r="B4255" t="s">
        <v>3</v>
      </c>
    </row>
    <row r="4256" spans="1:2" x14ac:dyDescent="0.2">
      <c r="A4256" t="str">
        <f>"DECR1"</f>
        <v>DECR1</v>
      </c>
      <c r="B4256" t="s">
        <v>7</v>
      </c>
    </row>
    <row r="4257" spans="1:2" x14ac:dyDescent="0.2">
      <c r="A4257" t="str">
        <f>"DECR2"</f>
        <v>DECR2</v>
      </c>
      <c r="B4257" t="s">
        <v>2</v>
      </c>
    </row>
    <row r="4258" spans="1:2" x14ac:dyDescent="0.2">
      <c r="A4258" t="str">
        <f>"DEDD"</f>
        <v>DEDD</v>
      </c>
      <c r="B4258" t="s">
        <v>3</v>
      </c>
    </row>
    <row r="4259" spans="1:2" x14ac:dyDescent="0.2">
      <c r="A4259" t="str">
        <f>"DEDD2"</f>
        <v>DEDD2</v>
      </c>
      <c r="B4259" t="s">
        <v>3</v>
      </c>
    </row>
    <row r="4260" spans="1:2" x14ac:dyDescent="0.2">
      <c r="A4260" t="str">
        <f>"DEF6"</f>
        <v>DEF6</v>
      </c>
      <c r="B4260" t="s">
        <v>4</v>
      </c>
    </row>
    <row r="4261" spans="1:2" x14ac:dyDescent="0.2">
      <c r="A4261" t="str">
        <f>"DEF8"</f>
        <v>DEF8</v>
      </c>
      <c r="B4261" t="s">
        <v>2</v>
      </c>
    </row>
    <row r="4262" spans="1:2" x14ac:dyDescent="0.2">
      <c r="A4262" t="str">
        <f>"DEFA1"</f>
        <v>DEFA1</v>
      </c>
      <c r="B4262" t="s">
        <v>4</v>
      </c>
    </row>
    <row r="4263" spans="1:2" x14ac:dyDescent="0.2">
      <c r="A4263" t="str">
        <f>"DEFA1B"</f>
        <v>DEFA1B</v>
      </c>
      <c r="B4263" t="s">
        <v>4</v>
      </c>
    </row>
    <row r="4264" spans="1:2" x14ac:dyDescent="0.2">
      <c r="A4264" t="str">
        <f>"DEFA3"</f>
        <v>DEFA3</v>
      </c>
      <c r="B4264" t="s">
        <v>4</v>
      </c>
    </row>
    <row r="4265" spans="1:2" x14ac:dyDescent="0.2">
      <c r="A4265" t="str">
        <f>"DEFA4"</f>
        <v>DEFA4</v>
      </c>
      <c r="B4265" t="s">
        <v>4</v>
      </c>
    </row>
    <row r="4266" spans="1:2" x14ac:dyDescent="0.2">
      <c r="A4266" t="str">
        <f>"DEFA5"</f>
        <v>DEFA5</v>
      </c>
      <c r="B4266" t="s">
        <v>4</v>
      </c>
    </row>
    <row r="4267" spans="1:2" x14ac:dyDescent="0.2">
      <c r="A4267" t="str">
        <f>"DEFA6"</f>
        <v>DEFA6</v>
      </c>
      <c r="B4267" t="s">
        <v>4</v>
      </c>
    </row>
    <row r="4268" spans="1:2" x14ac:dyDescent="0.2">
      <c r="A4268" t="str">
        <f>"DEFB1"</f>
        <v>DEFB1</v>
      </c>
      <c r="B4268" t="s">
        <v>3</v>
      </c>
    </row>
    <row r="4269" spans="1:2" x14ac:dyDescent="0.2">
      <c r="A4269" t="str">
        <f>"DEFB103A"</f>
        <v>DEFB103A</v>
      </c>
      <c r="B4269" t="s">
        <v>4</v>
      </c>
    </row>
    <row r="4270" spans="1:2" x14ac:dyDescent="0.2">
      <c r="A4270" t="str">
        <f>"DEFB103B"</f>
        <v>DEFB103B</v>
      </c>
      <c r="B4270" t="s">
        <v>4</v>
      </c>
    </row>
    <row r="4271" spans="1:2" x14ac:dyDescent="0.2">
      <c r="A4271" t="str">
        <f>"DEFB104A"</f>
        <v>DEFB104A</v>
      </c>
      <c r="B4271" t="s">
        <v>4</v>
      </c>
    </row>
    <row r="4272" spans="1:2" x14ac:dyDescent="0.2">
      <c r="A4272" t="str">
        <f>"DEFB104B"</f>
        <v>DEFB104B</v>
      </c>
      <c r="B4272" t="s">
        <v>4</v>
      </c>
    </row>
    <row r="4273" spans="1:2" x14ac:dyDescent="0.2">
      <c r="A4273" t="str">
        <f>"DEFB105A"</f>
        <v>DEFB105A</v>
      </c>
      <c r="B4273" t="s">
        <v>4</v>
      </c>
    </row>
    <row r="4274" spans="1:2" x14ac:dyDescent="0.2">
      <c r="A4274" t="str">
        <f>"DEFB105B"</f>
        <v>DEFB105B</v>
      </c>
      <c r="B4274" t="s">
        <v>4</v>
      </c>
    </row>
    <row r="4275" spans="1:2" x14ac:dyDescent="0.2">
      <c r="A4275" t="str">
        <f>"DEFB106A"</f>
        <v>DEFB106A</v>
      </c>
      <c r="B4275" t="s">
        <v>4</v>
      </c>
    </row>
    <row r="4276" spans="1:2" x14ac:dyDescent="0.2">
      <c r="A4276" t="str">
        <f>"DEFB106B"</f>
        <v>DEFB106B</v>
      </c>
      <c r="B4276" t="s">
        <v>4</v>
      </c>
    </row>
    <row r="4277" spans="1:2" x14ac:dyDescent="0.2">
      <c r="A4277" t="str">
        <f>"DEFB107A"</f>
        <v>DEFB107A</v>
      </c>
      <c r="B4277" t="s">
        <v>4</v>
      </c>
    </row>
    <row r="4278" spans="1:2" x14ac:dyDescent="0.2">
      <c r="A4278" t="str">
        <f>"DEFB107B"</f>
        <v>DEFB107B</v>
      </c>
      <c r="B4278" t="s">
        <v>4</v>
      </c>
    </row>
    <row r="4279" spans="1:2" x14ac:dyDescent="0.2">
      <c r="A4279" t="str">
        <f>"DEFB110"</f>
        <v>DEFB110</v>
      </c>
      <c r="B4279" t="s">
        <v>4</v>
      </c>
    </row>
    <row r="4280" spans="1:2" x14ac:dyDescent="0.2">
      <c r="A4280" t="str">
        <f>"DEFB112"</f>
        <v>DEFB112</v>
      </c>
      <c r="B4280" t="s">
        <v>4</v>
      </c>
    </row>
    <row r="4281" spans="1:2" x14ac:dyDescent="0.2">
      <c r="A4281" t="str">
        <f>"DEFB113"</f>
        <v>DEFB113</v>
      </c>
      <c r="B4281" t="s">
        <v>4</v>
      </c>
    </row>
    <row r="4282" spans="1:2" x14ac:dyDescent="0.2">
      <c r="A4282" t="str">
        <f>"DEFB114"</f>
        <v>DEFB114</v>
      </c>
      <c r="B4282" t="s">
        <v>4</v>
      </c>
    </row>
    <row r="4283" spans="1:2" x14ac:dyDescent="0.2">
      <c r="A4283" t="str">
        <f>"DEFB115"</f>
        <v>DEFB115</v>
      </c>
      <c r="B4283" t="s">
        <v>4</v>
      </c>
    </row>
    <row r="4284" spans="1:2" x14ac:dyDescent="0.2">
      <c r="A4284" t="str">
        <f>"DEFB116"</f>
        <v>DEFB116</v>
      </c>
      <c r="B4284" t="s">
        <v>4</v>
      </c>
    </row>
    <row r="4285" spans="1:2" x14ac:dyDescent="0.2">
      <c r="A4285" t="str">
        <f>"DEFB118"</f>
        <v>DEFB118</v>
      </c>
      <c r="B4285" t="s">
        <v>4</v>
      </c>
    </row>
    <row r="4286" spans="1:2" x14ac:dyDescent="0.2">
      <c r="A4286" t="str">
        <f>"DEFB119"</f>
        <v>DEFB119</v>
      </c>
      <c r="B4286" t="s">
        <v>4</v>
      </c>
    </row>
    <row r="4287" spans="1:2" x14ac:dyDescent="0.2">
      <c r="A4287" t="str">
        <f>"DEFB121"</f>
        <v>DEFB121</v>
      </c>
      <c r="B4287" t="s">
        <v>4</v>
      </c>
    </row>
    <row r="4288" spans="1:2" x14ac:dyDescent="0.2">
      <c r="A4288" t="str">
        <f>"DEFB123"</f>
        <v>DEFB123</v>
      </c>
      <c r="B4288" t="s">
        <v>4</v>
      </c>
    </row>
    <row r="4289" spans="1:2" x14ac:dyDescent="0.2">
      <c r="A4289" t="str">
        <f>"DEFB124"</f>
        <v>DEFB124</v>
      </c>
      <c r="B4289" t="s">
        <v>4</v>
      </c>
    </row>
    <row r="4290" spans="1:2" x14ac:dyDescent="0.2">
      <c r="A4290" t="str">
        <f>"DEFB125"</f>
        <v>DEFB125</v>
      </c>
      <c r="B4290" t="s">
        <v>4</v>
      </c>
    </row>
    <row r="4291" spans="1:2" x14ac:dyDescent="0.2">
      <c r="A4291" t="str">
        <f>"DEFB126"</f>
        <v>DEFB126</v>
      </c>
      <c r="B4291" t="s">
        <v>4</v>
      </c>
    </row>
    <row r="4292" spans="1:2" x14ac:dyDescent="0.2">
      <c r="A4292" t="str">
        <f>"DEFB127"</f>
        <v>DEFB127</v>
      </c>
      <c r="B4292" t="s">
        <v>4</v>
      </c>
    </row>
    <row r="4293" spans="1:2" x14ac:dyDescent="0.2">
      <c r="A4293" t="str">
        <f>"DEFB128"</f>
        <v>DEFB128</v>
      </c>
      <c r="B4293" t="s">
        <v>4</v>
      </c>
    </row>
    <row r="4294" spans="1:2" x14ac:dyDescent="0.2">
      <c r="A4294" t="str">
        <f>"DEFB129"</f>
        <v>DEFB129</v>
      </c>
      <c r="B4294" t="s">
        <v>4</v>
      </c>
    </row>
    <row r="4295" spans="1:2" x14ac:dyDescent="0.2">
      <c r="A4295" t="str">
        <f>"DEFB130"</f>
        <v>DEFB130</v>
      </c>
      <c r="B4295" t="s">
        <v>4</v>
      </c>
    </row>
    <row r="4296" spans="1:2" x14ac:dyDescent="0.2">
      <c r="A4296" t="str">
        <f>"DEFB131"</f>
        <v>DEFB131</v>
      </c>
      <c r="B4296" t="s">
        <v>4</v>
      </c>
    </row>
    <row r="4297" spans="1:2" x14ac:dyDescent="0.2">
      <c r="A4297" t="str">
        <f>"DEFB132"</f>
        <v>DEFB132</v>
      </c>
      <c r="B4297" t="s">
        <v>4</v>
      </c>
    </row>
    <row r="4298" spans="1:2" x14ac:dyDescent="0.2">
      <c r="A4298" t="str">
        <f>"DEFB133"</f>
        <v>DEFB133</v>
      </c>
      <c r="B4298" t="s">
        <v>4</v>
      </c>
    </row>
    <row r="4299" spans="1:2" x14ac:dyDescent="0.2">
      <c r="A4299" t="str">
        <f>"DEFB134"</f>
        <v>DEFB134</v>
      </c>
      <c r="B4299" t="s">
        <v>4</v>
      </c>
    </row>
    <row r="4300" spans="1:2" x14ac:dyDescent="0.2">
      <c r="A4300" t="str">
        <f>"DEFB135"</f>
        <v>DEFB135</v>
      </c>
      <c r="B4300" t="s">
        <v>4</v>
      </c>
    </row>
    <row r="4301" spans="1:2" x14ac:dyDescent="0.2">
      <c r="A4301" t="str">
        <f>"DEFB136"</f>
        <v>DEFB136</v>
      </c>
      <c r="B4301" t="s">
        <v>4</v>
      </c>
    </row>
    <row r="4302" spans="1:2" x14ac:dyDescent="0.2">
      <c r="A4302" t="str">
        <f>"DEFB4A"</f>
        <v>DEFB4A</v>
      </c>
      <c r="B4302" t="s">
        <v>4</v>
      </c>
    </row>
    <row r="4303" spans="1:2" x14ac:dyDescent="0.2">
      <c r="A4303" t="str">
        <f>"DEFB4B"</f>
        <v>DEFB4B</v>
      </c>
      <c r="B4303" t="s">
        <v>4</v>
      </c>
    </row>
    <row r="4304" spans="1:2" x14ac:dyDescent="0.2">
      <c r="A4304" t="str">
        <f>"DEGS1"</f>
        <v>DEGS1</v>
      </c>
      <c r="B4304" t="s">
        <v>2</v>
      </c>
    </row>
    <row r="4305" spans="1:2" x14ac:dyDescent="0.2">
      <c r="A4305" t="str">
        <f>"DEGS2"</f>
        <v>DEGS2</v>
      </c>
      <c r="B4305" t="s">
        <v>2</v>
      </c>
    </row>
    <row r="4306" spans="1:2" x14ac:dyDescent="0.2">
      <c r="A4306" t="str">
        <f>"DEK"</f>
        <v>DEK</v>
      </c>
      <c r="B4306" t="s">
        <v>3</v>
      </c>
    </row>
    <row r="4307" spans="1:2" x14ac:dyDescent="0.2">
      <c r="A4307" t="str">
        <f>"DENND1A"</f>
        <v>DENND1A</v>
      </c>
      <c r="B4307" t="s">
        <v>6</v>
      </c>
    </row>
    <row r="4308" spans="1:2" x14ac:dyDescent="0.2">
      <c r="A4308" t="str">
        <f>"DENND1B"</f>
        <v>DENND1B</v>
      </c>
      <c r="B4308" t="s">
        <v>4</v>
      </c>
    </row>
    <row r="4309" spans="1:2" x14ac:dyDescent="0.2">
      <c r="A4309" t="str">
        <f>"DENND1C"</f>
        <v>DENND1C</v>
      </c>
      <c r="B4309" t="s">
        <v>4</v>
      </c>
    </row>
    <row r="4310" spans="1:2" x14ac:dyDescent="0.2">
      <c r="A4310" t="str">
        <f>"DENND2A"</f>
        <v>DENND2A</v>
      </c>
      <c r="B4310" t="s">
        <v>3</v>
      </c>
    </row>
    <row r="4311" spans="1:2" x14ac:dyDescent="0.2">
      <c r="A4311" t="str">
        <f>"DENND2C"</f>
        <v>DENND2C</v>
      </c>
      <c r="B4311" t="s">
        <v>4</v>
      </c>
    </row>
    <row r="4312" spans="1:2" x14ac:dyDescent="0.2">
      <c r="A4312" t="str">
        <f>"DENND2D"</f>
        <v>DENND2D</v>
      </c>
      <c r="B4312" t="s">
        <v>4</v>
      </c>
    </row>
    <row r="4313" spans="1:2" x14ac:dyDescent="0.2">
      <c r="A4313" t="str">
        <f>"DENND3"</f>
        <v>DENND3</v>
      </c>
      <c r="B4313" t="s">
        <v>4</v>
      </c>
    </row>
    <row r="4314" spans="1:2" x14ac:dyDescent="0.2">
      <c r="A4314" t="str">
        <f>"DENND4A"</f>
        <v>DENND4A</v>
      </c>
      <c r="B4314" t="s">
        <v>3</v>
      </c>
    </row>
    <row r="4315" spans="1:2" x14ac:dyDescent="0.2">
      <c r="A4315" t="str">
        <f>"DENND4B"</f>
        <v>DENND4B</v>
      </c>
      <c r="B4315" t="s">
        <v>4</v>
      </c>
    </row>
    <row r="4316" spans="1:2" x14ac:dyDescent="0.2">
      <c r="A4316" t="str">
        <f>"DENND4C"</f>
        <v>DENND4C</v>
      </c>
      <c r="B4316" t="s">
        <v>5</v>
      </c>
    </row>
    <row r="4317" spans="1:2" x14ac:dyDescent="0.2">
      <c r="A4317" t="str">
        <f>"DENND5A"</f>
        <v>DENND5A</v>
      </c>
      <c r="B4317" t="s">
        <v>4</v>
      </c>
    </row>
    <row r="4318" spans="1:2" x14ac:dyDescent="0.2">
      <c r="A4318" t="str">
        <f>"DENND5B"</f>
        <v>DENND5B</v>
      </c>
      <c r="B4318" t="s">
        <v>5</v>
      </c>
    </row>
    <row r="4319" spans="1:2" x14ac:dyDescent="0.2">
      <c r="A4319" t="str">
        <f>"DENND6A"</f>
        <v>DENND6A</v>
      </c>
      <c r="B4319" t="s">
        <v>4</v>
      </c>
    </row>
    <row r="4320" spans="1:2" x14ac:dyDescent="0.2">
      <c r="A4320" t="str">
        <f>"DENND6B"</f>
        <v>DENND6B</v>
      </c>
      <c r="B4320" t="s">
        <v>4</v>
      </c>
    </row>
    <row r="4321" spans="1:2" x14ac:dyDescent="0.2">
      <c r="A4321" t="str">
        <f>"DENR"</f>
        <v>DENR</v>
      </c>
      <c r="B4321" t="s">
        <v>8</v>
      </c>
    </row>
    <row r="4322" spans="1:2" x14ac:dyDescent="0.2">
      <c r="A4322" t="str">
        <f>"DEPDC1"</f>
        <v>DEPDC1</v>
      </c>
      <c r="B4322" t="s">
        <v>8</v>
      </c>
    </row>
    <row r="4323" spans="1:2" x14ac:dyDescent="0.2">
      <c r="A4323" t="str">
        <f>"DEPDC1B"</f>
        <v>DEPDC1B</v>
      </c>
      <c r="B4323" t="s">
        <v>8</v>
      </c>
    </row>
    <row r="4324" spans="1:2" x14ac:dyDescent="0.2">
      <c r="A4324" t="str">
        <f>"DEPDC4"</f>
        <v>DEPDC4</v>
      </c>
      <c r="B4324" t="s">
        <v>8</v>
      </c>
    </row>
    <row r="4325" spans="1:2" x14ac:dyDescent="0.2">
      <c r="A4325" t="str">
        <f>"DEPDC5"</f>
        <v>DEPDC5</v>
      </c>
      <c r="B4325" t="s">
        <v>8</v>
      </c>
    </row>
    <row r="4326" spans="1:2" x14ac:dyDescent="0.2">
      <c r="A4326" t="str">
        <f>"DEPDC7"</f>
        <v>DEPDC7</v>
      </c>
      <c r="B4326" t="s">
        <v>8</v>
      </c>
    </row>
    <row r="4327" spans="1:2" x14ac:dyDescent="0.2">
      <c r="A4327" t="str">
        <f>"DEPTOR"</f>
        <v>DEPTOR</v>
      </c>
      <c r="B4327" t="s">
        <v>8</v>
      </c>
    </row>
    <row r="4328" spans="1:2" x14ac:dyDescent="0.2">
      <c r="A4328" t="str">
        <f>"DERA"</f>
        <v>DERA</v>
      </c>
      <c r="B4328" t="s">
        <v>3</v>
      </c>
    </row>
    <row r="4329" spans="1:2" x14ac:dyDescent="0.2">
      <c r="A4329" t="str">
        <f>"DERL1"</f>
        <v>DERL1</v>
      </c>
      <c r="B4329" t="s">
        <v>2</v>
      </c>
    </row>
    <row r="4330" spans="1:2" x14ac:dyDescent="0.2">
      <c r="A4330" t="str">
        <f>"DERL2"</f>
        <v>DERL2</v>
      </c>
      <c r="B4330" t="s">
        <v>6</v>
      </c>
    </row>
    <row r="4331" spans="1:2" x14ac:dyDescent="0.2">
      <c r="A4331" t="str">
        <f>"DERL3"</f>
        <v>DERL3</v>
      </c>
      <c r="B4331" t="s">
        <v>2</v>
      </c>
    </row>
    <row r="4332" spans="1:2" x14ac:dyDescent="0.2">
      <c r="A4332" t="str">
        <f>"DES"</f>
        <v>DES</v>
      </c>
      <c r="B4332" t="s">
        <v>3</v>
      </c>
    </row>
    <row r="4333" spans="1:2" x14ac:dyDescent="0.2">
      <c r="A4333" t="str">
        <f>"DESI1"</f>
        <v>DESI1</v>
      </c>
      <c r="B4333" t="s">
        <v>4</v>
      </c>
    </row>
    <row r="4334" spans="1:2" x14ac:dyDescent="0.2">
      <c r="A4334" t="str">
        <f>"DESI2"</f>
        <v>DESI2</v>
      </c>
      <c r="B4334" t="s">
        <v>4</v>
      </c>
    </row>
    <row r="4335" spans="1:2" x14ac:dyDescent="0.2">
      <c r="A4335" t="str">
        <f>"DET1"</f>
        <v>DET1</v>
      </c>
      <c r="B4335" t="s">
        <v>3</v>
      </c>
    </row>
    <row r="4336" spans="1:2" x14ac:dyDescent="0.2">
      <c r="A4336" t="str">
        <f>"DEXI"</f>
        <v>DEXI</v>
      </c>
      <c r="B4336" t="s">
        <v>5</v>
      </c>
    </row>
    <row r="4337" spans="1:2" x14ac:dyDescent="0.2">
      <c r="A4337" t="str">
        <f>"DFFA"</f>
        <v>DFFA</v>
      </c>
      <c r="B4337" t="s">
        <v>3</v>
      </c>
    </row>
    <row r="4338" spans="1:2" x14ac:dyDescent="0.2">
      <c r="A4338" t="str">
        <f>"DFFB"</f>
        <v>DFFB</v>
      </c>
      <c r="B4338" t="s">
        <v>3</v>
      </c>
    </row>
    <row r="4339" spans="1:2" x14ac:dyDescent="0.2">
      <c r="A4339" t="str">
        <f>"DFNA5"</f>
        <v>DFNA5</v>
      </c>
      <c r="B4339" t="s">
        <v>4</v>
      </c>
    </row>
    <row r="4340" spans="1:2" x14ac:dyDescent="0.2">
      <c r="A4340" t="str">
        <f>"DFNB31"</f>
        <v>DFNB31</v>
      </c>
      <c r="B4340" t="s">
        <v>4</v>
      </c>
    </row>
    <row r="4341" spans="1:2" x14ac:dyDescent="0.2">
      <c r="A4341" t="str">
        <f>"DFNB59"</f>
        <v>DFNB59</v>
      </c>
      <c r="B4341" t="s">
        <v>4</v>
      </c>
    </row>
    <row r="4342" spans="1:2" x14ac:dyDescent="0.2">
      <c r="A4342" t="str">
        <f>"DGAT1"</f>
        <v>DGAT1</v>
      </c>
      <c r="B4342" t="s">
        <v>6</v>
      </c>
    </row>
    <row r="4343" spans="1:2" x14ac:dyDescent="0.2">
      <c r="A4343" t="str">
        <f>"DGAT2"</f>
        <v>DGAT2</v>
      </c>
      <c r="B4343" t="s">
        <v>6</v>
      </c>
    </row>
    <row r="4344" spans="1:2" x14ac:dyDescent="0.2">
      <c r="A4344" t="str">
        <f>"DGAT2L6"</f>
        <v>DGAT2L6</v>
      </c>
      <c r="B4344" t="s">
        <v>2</v>
      </c>
    </row>
    <row r="4345" spans="1:2" x14ac:dyDescent="0.2">
      <c r="A4345" t="str">
        <f>"DGCR14"</f>
        <v>DGCR14</v>
      </c>
      <c r="B4345" t="s">
        <v>8</v>
      </c>
    </row>
    <row r="4346" spans="1:2" x14ac:dyDescent="0.2">
      <c r="A4346" t="str">
        <f>"DGCR2"</f>
        <v>DGCR2</v>
      </c>
      <c r="B4346" t="s">
        <v>5</v>
      </c>
    </row>
    <row r="4347" spans="1:2" x14ac:dyDescent="0.2">
      <c r="A4347" t="str">
        <f>"DGCR6"</f>
        <v>DGCR6</v>
      </c>
      <c r="B4347" t="s">
        <v>4</v>
      </c>
    </row>
    <row r="4348" spans="1:2" x14ac:dyDescent="0.2">
      <c r="A4348" t="str">
        <f>"DGCR6L"</f>
        <v>DGCR6L</v>
      </c>
      <c r="B4348" t="s">
        <v>3</v>
      </c>
    </row>
    <row r="4349" spans="1:2" x14ac:dyDescent="0.2">
      <c r="A4349" t="str">
        <f>"DGCR8"</f>
        <v>DGCR8</v>
      </c>
      <c r="B4349" t="s">
        <v>8</v>
      </c>
    </row>
    <row r="4350" spans="1:2" x14ac:dyDescent="0.2">
      <c r="A4350" t="str">
        <f>"DGKA"</f>
        <v>DGKA</v>
      </c>
      <c r="B4350" t="s">
        <v>7</v>
      </c>
    </row>
    <row r="4351" spans="1:2" x14ac:dyDescent="0.2">
      <c r="A4351" t="str">
        <f>"DGKB"</f>
        <v>DGKB</v>
      </c>
      <c r="B4351" t="s">
        <v>7</v>
      </c>
    </row>
    <row r="4352" spans="1:2" x14ac:dyDescent="0.2">
      <c r="A4352" t="str">
        <f>"DGKD"</f>
        <v>DGKD</v>
      </c>
      <c r="B4352" t="s">
        <v>7</v>
      </c>
    </row>
    <row r="4353" spans="1:2" x14ac:dyDescent="0.2">
      <c r="A4353" t="str">
        <f>"DGKE"</f>
        <v>DGKE</v>
      </c>
      <c r="B4353" t="s">
        <v>7</v>
      </c>
    </row>
    <row r="4354" spans="1:2" x14ac:dyDescent="0.2">
      <c r="A4354" t="str">
        <f>"DGKG"</f>
        <v>DGKG</v>
      </c>
      <c r="B4354" t="s">
        <v>7</v>
      </c>
    </row>
    <row r="4355" spans="1:2" x14ac:dyDescent="0.2">
      <c r="A4355" t="str">
        <f>"DGKH"</f>
        <v>DGKH</v>
      </c>
      <c r="B4355" t="s">
        <v>7</v>
      </c>
    </row>
    <row r="4356" spans="1:2" x14ac:dyDescent="0.2">
      <c r="A4356" t="str">
        <f>"DGKI"</f>
        <v>DGKI</v>
      </c>
      <c r="B4356" t="s">
        <v>7</v>
      </c>
    </row>
    <row r="4357" spans="1:2" x14ac:dyDescent="0.2">
      <c r="A4357" t="str">
        <f>"DGKK"</f>
        <v>DGKK</v>
      </c>
      <c r="B4357" t="s">
        <v>7</v>
      </c>
    </row>
    <row r="4358" spans="1:2" x14ac:dyDescent="0.2">
      <c r="A4358" t="str">
        <f>"DGKQ"</f>
        <v>DGKQ</v>
      </c>
      <c r="B4358" t="s">
        <v>7</v>
      </c>
    </row>
    <row r="4359" spans="1:2" x14ac:dyDescent="0.2">
      <c r="A4359" t="str">
        <f>"DGKZ"</f>
        <v>DGKZ</v>
      </c>
      <c r="B4359" t="s">
        <v>7</v>
      </c>
    </row>
    <row r="4360" spans="1:2" x14ac:dyDescent="0.2">
      <c r="A4360" t="str">
        <f>"DGUOK"</f>
        <v>DGUOK</v>
      </c>
      <c r="B4360" t="s">
        <v>7</v>
      </c>
    </row>
    <row r="4361" spans="1:2" x14ac:dyDescent="0.2">
      <c r="A4361" t="str">
        <f>"DHCR24"</f>
        <v>DHCR24</v>
      </c>
      <c r="B4361" t="s">
        <v>3</v>
      </c>
    </row>
    <row r="4362" spans="1:2" x14ac:dyDescent="0.2">
      <c r="A4362" t="str">
        <f>"DHCR7"</f>
        <v>DHCR7</v>
      </c>
      <c r="B4362" t="s">
        <v>7</v>
      </c>
    </row>
    <row r="4363" spans="1:2" x14ac:dyDescent="0.2">
      <c r="A4363" t="str">
        <f>"DHDDS"</f>
        <v>DHDDS</v>
      </c>
      <c r="B4363" t="s">
        <v>2</v>
      </c>
    </row>
    <row r="4364" spans="1:2" x14ac:dyDescent="0.2">
      <c r="A4364" t="str">
        <f>"DHDH"</f>
        <v>DHDH</v>
      </c>
      <c r="B4364" t="s">
        <v>3</v>
      </c>
    </row>
    <row r="4365" spans="1:2" x14ac:dyDescent="0.2">
      <c r="A4365" t="str">
        <f>"DHFR"</f>
        <v>DHFR</v>
      </c>
      <c r="B4365" t="s">
        <v>3</v>
      </c>
    </row>
    <row r="4366" spans="1:2" x14ac:dyDescent="0.2">
      <c r="A4366" t="str">
        <f>"DHFRL1"</f>
        <v>DHFRL1</v>
      </c>
      <c r="B4366" t="s">
        <v>7</v>
      </c>
    </row>
    <row r="4367" spans="1:2" x14ac:dyDescent="0.2">
      <c r="A4367" t="str">
        <f>"DHH"</f>
        <v>DHH</v>
      </c>
      <c r="B4367" t="s">
        <v>2</v>
      </c>
    </row>
    <row r="4368" spans="1:2" x14ac:dyDescent="0.2">
      <c r="A4368" t="str">
        <f>"DHODH"</f>
        <v>DHODH</v>
      </c>
      <c r="B4368" t="s">
        <v>7</v>
      </c>
    </row>
    <row r="4369" spans="1:2" x14ac:dyDescent="0.2">
      <c r="A4369" t="str">
        <f>"DHPS"</f>
        <v>DHPS</v>
      </c>
      <c r="B4369" t="s">
        <v>7</v>
      </c>
    </row>
    <row r="4370" spans="1:2" x14ac:dyDescent="0.2">
      <c r="A4370" t="str">
        <f>"DHRS1"</f>
        <v>DHRS1</v>
      </c>
      <c r="B4370" t="s">
        <v>2</v>
      </c>
    </row>
    <row r="4371" spans="1:2" x14ac:dyDescent="0.2">
      <c r="A4371" t="str">
        <f>"DHRS11"</f>
        <v>DHRS11</v>
      </c>
      <c r="B4371" t="s">
        <v>7</v>
      </c>
    </row>
    <row r="4372" spans="1:2" x14ac:dyDescent="0.2">
      <c r="A4372" t="str">
        <f>"DHRS12"</f>
        <v>DHRS12</v>
      </c>
      <c r="B4372" t="s">
        <v>4</v>
      </c>
    </row>
    <row r="4373" spans="1:2" x14ac:dyDescent="0.2">
      <c r="A4373" t="str">
        <f>"DHRS13"</f>
        <v>DHRS13</v>
      </c>
      <c r="B4373" t="s">
        <v>4</v>
      </c>
    </row>
    <row r="4374" spans="1:2" x14ac:dyDescent="0.2">
      <c r="A4374" t="str">
        <f>"DHRS2"</f>
        <v>DHRS2</v>
      </c>
      <c r="B4374" t="s">
        <v>3</v>
      </c>
    </row>
    <row r="4375" spans="1:2" x14ac:dyDescent="0.2">
      <c r="A4375" t="str">
        <f>"DHRS3"</f>
        <v>DHRS3</v>
      </c>
      <c r="B4375" t="s">
        <v>3</v>
      </c>
    </row>
    <row r="4376" spans="1:2" x14ac:dyDescent="0.2">
      <c r="A4376" t="str">
        <f>"DHRS4"</f>
        <v>DHRS4</v>
      </c>
      <c r="B4376" t="s">
        <v>7</v>
      </c>
    </row>
    <row r="4377" spans="1:2" x14ac:dyDescent="0.2">
      <c r="A4377" t="str">
        <f>"DHRS4L1"</f>
        <v>DHRS4L1</v>
      </c>
      <c r="B4377" t="s">
        <v>7</v>
      </c>
    </row>
    <row r="4378" spans="1:2" x14ac:dyDescent="0.2">
      <c r="A4378" t="str">
        <f>"DHRS4L2"</f>
        <v>DHRS4L2</v>
      </c>
      <c r="B4378" t="s">
        <v>7</v>
      </c>
    </row>
    <row r="4379" spans="1:2" x14ac:dyDescent="0.2">
      <c r="A4379" t="str">
        <f>"DHRS7"</f>
        <v>DHRS7</v>
      </c>
      <c r="B4379" t="s">
        <v>3</v>
      </c>
    </row>
    <row r="4380" spans="1:2" x14ac:dyDescent="0.2">
      <c r="A4380" t="str">
        <f>"DHRS7B"</f>
        <v>DHRS7B</v>
      </c>
      <c r="B4380" t="s">
        <v>2</v>
      </c>
    </row>
    <row r="4381" spans="1:2" x14ac:dyDescent="0.2">
      <c r="A4381" t="str">
        <f>"DHRS7C"</f>
        <v>DHRS7C</v>
      </c>
      <c r="B4381" t="s">
        <v>4</v>
      </c>
    </row>
    <row r="4382" spans="1:2" x14ac:dyDescent="0.2">
      <c r="A4382" t="str">
        <f>"DHRS9"</f>
        <v>DHRS9</v>
      </c>
      <c r="B4382" t="s">
        <v>2</v>
      </c>
    </row>
    <row r="4383" spans="1:2" x14ac:dyDescent="0.2">
      <c r="A4383" t="str">
        <f>"DHRSX"</f>
        <v>DHRSX</v>
      </c>
      <c r="B4383" t="s">
        <v>2</v>
      </c>
    </row>
    <row r="4384" spans="1:2" x14ac:dyDescent="0.2">
      <c r="A4384" t="str">
        <f>"DHTKD1"</f>
        <v>DHTKD1</v>
      </c>
      <c r="B4384" t="s">
        <v>6</v>
      </c>
    </row>
    <row r="4385" spans="1:2" x14ac:dyDescent="0.2">
      <c r="A4385" t="str">
        <f>"DHX15"</f>
        <v>DHX15</v>
      </c>
      <c r="B4385" t="s">
        <v>6</v>
      </c>
    </row>
    <row r="4386" spans="1:2" x14ac:dyDescent="0.2">
      <c r="A4386" t="str">
        <f>"DHX16"</f>
        <v>DHX16</v>
      </c>
      <c r="B4386" t="s">
        <v>3</v>
      </c>
    </row>
    <row r="4387" spans="1:2" x14ac:dyDescent="0.2">
      <c r="A4387" t="str">
        <f>"DHX29"</f>
        <v>DHX29</v>
      </c>
      <c r="B4387" t="s">
        <v>6</v>
      </c>
    </row>
    <row r="4388" spans="1:2" x14ac:dyDescent="0.2">
      <c r="A4388" t="str">
        <f>"DHX30"</f>
        <v>DHX30</v>
      </c>
      <c r="B4388" t="s">
        <v>6</v>
      </c>
    </row>
    <row r="4389" spans="1:2" x14ac:dyDescent="0.2">
      <c r="A4389" t="str">
        <f>"DHX32"</f>
        <v>DHX32</v>
      </c>
      <c r="B4389" t="s">
        <v>6</v>
      </c>
    </row>
    <row r="4390" spans="1:2" x14ac:dyDescent="0.2">
      <c r="A4390" t="str">
        <f>"DHX33"</f>
        <v>DHX33</v>
      </c>
      <c r="B4390" t="s">
        <v>8</v>
      </c>
    </row>
    <row r="4391" spans="1:2" x14ac:dyDescent="0.2">
      <c r="A4391" t="str">
        <f>"DHX34"</f>
        <v>DHX34</v>
      </c>
      <c r="B4391" t="s">
        <v>8</v>
      </c>
    </row>
    <row r="4392" spans="1:2" x14ac:dyDescent="0.2">
      <c r="A4392" t="str">
        <f>"DHX35"</f>
        <v>DHX35</v>
      </c>
      <c r="B4392" t="s">
        <v>8</v>
      </c>
    </row>
    <row r="4393" spans="1:2" x14ac:dyDescent="0.2">
      <c r="A4393" t="str">
        <f>"DHX36"</f>
        <v>DHX36</v>
      </c>
      <c r="B4393" t="s">
        <v>5</v>
      </c>
    </row>
    <row r="4394" spans="1:2" x14ac:dyDescent="0.2">
      <c r="A4394" t="str">
        <f>"DHX37"</f>
        <v>DHX37</v>
      </c>
      <c r="B4394" t="s">
        <v>6</v>
      </c>
    </row>
    <row r="4395" spans="1:2" x14ac:dyDescent="0.2">
      <c r="A4395" t="str">
        <f>"DHX38"</f>
        <v>DHX38</v>
      </c>
      <c r="B4395" t="s">
        <v>8</v>
      </c>
    </row>
    <row r="4396" spans="1:2" x14ac:dyDescent="0.2">
      <c r="A4396" t="str">
        <f>"DHX40"</f>
        <v>DHX40</v>
      </c>
      <c r="B4396" t="s">
        <v>8</v>
      </c>
    </row>
    <row r="4397" spans="1:2" x14ac:dyDescent="0.2">
      <c r="A4397" t="str">
        <f>"DHX57"</f>
        <v>DHX57</v>
      </c>
      <c r="B4397" t="s">
        <v>8</v>
      </c>
    </row>
    <row r="4398" spans="1:2" x14ac:dyDescent="0.2">
      <c r="A4398" t="str">
        <f>"DHX58"</f>
        <v>DHX58</v>
      </c>
      <c r="B4398" t="s">
        <v>8</v>
      </c>
    </row>
    <row r="4399" spans="1:2" x14ac:dyDescent="0.2">
      <c r="A4399" t="str">
        <f>"DHX8"</f>
        <v>DHX8</v>
      </c>
      <c r="B4399" t="s">
        <v>2</v>
      </c>
    </row>
    <row r="4400" spans="1:2" x14ac:dyDescent="0.2">
      <c r="A4400" t="str">
        <f>"DHX9"</f>
        <v>DHX9</v>
      </c>
      <c r="B4400" t="s">
        <v>2</v>
      </c>
    </row>
    <row r="4401" spans="1:2" x14ac:dyDescent="0.2">
      <c r="A4401" t="str">
        <f>"DIABLO"</f>
        <v>DIABLO</v>
      </c>
      <c r="B4401" t="s">
        <v>3</v>
      </c>
    </row>
    <row r="4402" spans="1:2" x14ac:dyDescent="0.2">
      <c r="A4402" t="str">
        <f>"DIAPH1"</f>
        <v>DIAPH1</v>
      </c>
      <c r="B4402" t="s">
        <v>8</v>
      </c>
    </row>
    <row r="4403" spans="1:2" x14ac:dyDescent="0.2">
      <c r="A4403" t="str">
        <f>"DIAPH2"</f>
        <v>DIAPH2</v>
      </c>
      <c r="B4403" t="s">
        <v>3</v>
      </c>
    </row>
    <row r="4404" spans="1:2" x14ac:dyDescent="0.2">
      <c r="A4404" t="str">
        <f>"DIAPH3"</f>
        <v>DIAPH3</v>
      </c>
      <c r="B4404" t="s">
        <v>6</v>
      </c>
    </row>
    <row r="4405" spans="1:2" x14ac:dyDescent="0.2">
      <c r="A4405" t="str">
        <f>"DICER1"</f>
        <v>DICER1</v>
      </c>
      <c r="B4405" t="s">
        <v>3</v>
      </c>
    </row>
    <row r="4406" spans="1:2" x14ac:dyDescent="0.2">
      <c r="A4406" t="str">
        <f>"DIDO1"</f>
        <v>DIDO1</v>
      </c>
      <c r="B4406" t="s">
        <v>8</v>
      </c>
    </row>
    <row r="4407" spans="1:2" x14ac:dyDescent="0.2">
      <c r="A4407" t="str">
        <f>"DIEXF"</f>
        <v>DIEXF</v>
      </c>
      <c r="B4407" t="s">
        <v>8</v>
      </c>
    </row>
    <row r="4408" spans="1:2" x14ac:dyDescent="0.2">
      <c r="A4408" t="str">
        <f>"DIMT1"</f>
        <v>DIMT1</v>
      </c>
      <c r="B4408" t="s">
        <v>6</v>
      </c>
    </row>
    <row r="4409" spans="1:2" x14ac:dyDescent="0.2">
      <c r="A4409" t="str">
        <f>"DIO1"</f>
        <v>DIO1</v>
      </c>
      <c r="B4409" t="s">
        <v>2</v>
      </c>
    </row>
    <row r="4410" spans="1:2" x14ac:dyDescent="0.2">
      <c r="A4410" t="str">
        <f>"DIO2"</f>
        <v>DIO2</v>
      </c>
      <c r="B4410" t="s">
        <v>5</v>
      </c>
    </row>
    <row r="4411" spans="1:2" x14ac:dyDescent="0.2">
      <c r="A4411" t="str">
        <f>"DIO3"</f>
        <v>DIO3</v>
      </c>
      <c r="B4411" t="s">
        <v>2</v>
      </c>
    </row>
    <row r="4412" spans="1:2" x14ac:dyDescent="0.2">
      <c r="A4412" t="str">
        <f>"DIP2A"</f>
        <v>DIP2A</v>
      </c>
      <c r="B4412" t="s">
        <v>2</v>
      </c>
    </row>
    <row r="4413" spans="1:2" x14ac:dyDescent="0.2">
      <c r="A4413" t="str">
        <f>"DIP2B"</f>
        <v>DIP2B</v>
      </c>
      <c r="B4413" t="s">
        <v>8</v>
      </c>
    </row>
    <row r="4414" spans="1:2" x14ac:dyDescent="0.2">
      <c r="A4414" t="str">
        <f>"DIP2C"</f>
        <v>DIP2C</v>
      </c>
      <c r="B4414" t="s">
        <v>3</v>
      </c>
    </row>
    <row r="4415" spans="1:2" x14ac:dyDescent="0.2">
      <c r="A4415" t="str">
        <f>"DIRAS1"</f>
        <v>DIRAS1</v>
      </c>
      <c r="B4415" t="s">
        <v>3</v>
      </c>
    </row>
    <row r="4416" spans="1:2" x14ac:dyDescent="0.2">
      <c r="A4416" t="str">
        <f>"DIRAS2"</f>
        <v>DIRAS2</v>
      </c>
      <c r="B4416" t="s">
        <v>6</v>
      </c>
    </row>
    <row r="4417" spans="1:2" x14ac:dyDescent="0.2">
      <c r="A4417" t="str">
        <f>"DIRAS3"</f>
        <v>DIRAS3</v>
      </c>
      <c r="B4417" t="s">
        <v>3</v>
      </c>
    </row>
    <row r="4418" spans="1:2" x14ac:dyDescent="0.2">
      <c r="A4418" t="str">
        <f>"DIRC1"</f>
        <v>DIRC1</v>
      </c>
      <c r="B4418" t="s">
        <v>4</v>
      </c>
    </row>
    <row r="4419" spans="1:2" x14ac:dyDescent="0.2">
      <c r="A4419" t="str">
        <f>"DIRC2"</f>
        <v>DIRC2</v>
      </c>
      <c r="B4419" t="s">
        <v>5</v>
      </c>
    </row>
    <row r="4420" spans="1:2" x14ac:dyDescent="0.2">
      <c r="A4420" t="str">
        <f>"DIS3"</f>
        <v>DIS3</v>
      </c>
      <c r="B4420" t="s">
        <v>3</v>
      </c>
    </row>
    <row r="4421" spans="1:2" x14ac:dyDescent="0.2">
      <c r="A4421" t="str">
        <f>"DIS3L"</f>
        <v>DIS3L</v>
      </c>
      <c r="B4421" t="s">
        <v>8</v>
      </c>
    </row>
    <row r="4422" spans="1:2" x14ac:dyDescent="0.2">
      <c r="A4422" t="str">
        <f>"DIS3L2"</f>
        <v>DIS3L2</v>
      </c>
      <c r="B4422" t="s">
        <v>4</v>
      </c>
    </row>
    <row r="4423" spans="1:2" x14ac:dyDescent="0.2">
      <c r="A4423" t="str">
        <f>"DISC1"</f>
        <v>DISC1</v>
      </c>
      <c r="B4423" t="s">
        <v>3</v>
      </c>
    </row>
    <row r="4424" spans="1:2" x14ac:dyDescent="0.2">
      <c r="A4424" t="str">
        <f>"DISP1"</f>
        <v>DISP1</v>
      </c>
      <c r="B4424" t="s">
        <v>6</v>
      </c>
    </row>
    <row r="4425" spans="1:2" x14ac:dyDescent="0.2">
      <c r="A4425" t="str">
        <f>"DISP2"</f>
        <v>DISP2</v>
      </c>
      <c r="B4425" t="s">
        <v>5</v>
      </c>
    </row>
    <row r="4426" spans="1:2" x14ac:dyDescent="0.2">
      <c r="A4426" t="str">
        <f>"DIXDC1"</f>
        <v>DIXDC1</v>
      </c>
      <c r="B4426" t="s">
        <v>4</v>
      </c>
    </row>
    <row r="4427" spans="1:2" x14ac:dyDescent="0.2">
      <c r="A4427" t="str">
        <f>"DKC1"</f>
        <v>DKC1</v>
      </c>
      <c r="B4427" t="s">
        <v>8</v>
      </c>
    </row>
    <row r="4428" spans="1:2" x14ac:dyDescent="0.2">
      <c r="A4428" t="str">
        <f>"DKK1"</f>
        <v>DKK1</v>
      </c>
      <c r="B4428" t="s">
        <v>3</v>
      </c>
    </row>
    <row r="4429" spans="1:2" x14ac:dyDescent="0.2">
      <c r="A4429" t="str">
        <f>"DKK2"</f>
        <v>DKK2</v>
      </c>
      <c r="B4429" t="s">
        <v>3</v>
      </c>
    </row>
    <row r="4430" spans="1:2" x14ac:dyDescent="0.2">
      <c r="A4430" t="str">
        <f>"DKK3"</f>
        <v>DKK3</v>
      </c>
      <c r="B4430" t="s">
        <v>3</v>
      </c>
    </row>
    <row r="4431" spans="1:2" x14ac:dyDescent="0.2">
      <c r="A4431" t="str">
        <f>"DKK4"</f>
        <v>DKK4</v>
      </c>
      <c r="B4431" t="s">
        <v>3</v>
      </c>
    </row>
    <row r="4432" spans="1:2" x14ac:dyDescent="0.2">
      <c r="A4432" t="str">
        <f>"DKKL1"</f>
        <v>DKKL1</v>
      </c>
      <c r="B4432" t="s">
        <v>4</v>
      </c>
    </row>
    <row r="4433" spans="1:2" x14ac:dyDescent="0.2">
      <c r="A4433" t="str">
        <f>"DLAT"</f>
        <v>DLAT</v>
      </c>
      <c r="B4433" t="s">
        <v>7</v>
      </c>
    </row>
    <row r="4434" spans="1:2" x14ac:dyDescent="0.2">
      <c r="A4434" t="str">
        <f>"DLC1"</f>
        <v>DLC1</v>
      </c>
      <c r="B4434" t="s">
        <v>3</v>
      </c>
    </row>
    <row r="4435" spans="1:2" x14ac:dyDescent="0.2">
      <c r="A4435" t="str">
        <f>"DLD"</f>
        <v>DLD</v>
      </c>
      <c r="B4435" t="s">
        <v>7</v>
      </c>
    </row>
    <row r="4436" spans="1:2" x14ac:dyDescent="0.2">
      <c r="A4436" t="str">
        <f>"DLEC1"</f>
        <v>DLEC1</v>
      </c>
      <c r="B4436" t="s">
        <v>3</v>
      </c>
    </row>
    <row r="4437" spans="1:2" x14ac:dyDescent="0.2">
      <c r="A4437" t="str">
        <f>"DLEU7"</f>
        <v>DLEU7</v>
      </c>
      <c r="B4437" t="s">
        <v>4</v>
      </c>
    </row>
    <row r="4438" spans="1:2" x14ac:dyDescent="0.2">
      <c r="A4438" t="str">
        <f>"DLG1"</f>
        <v>DLG1</v>
      </c>
      <c r="B4438" t="s">
        <v>3</v>
      </c>
    </row>
    <row r="4439" spans="1:2" x14ac:dyDescent="0.2">
      <c r="A4439" t="str">
        <f>"DLG2"</f>
        <v>DLG2</v>
      </c>
      <c r="B4439" t="s">
        <v>5</v>
      </c>
    </row>
    <row r="4440" spans="1:2" x14ac:dyDescent="0.2">
      <c r="A4440" t="str">
        <f>"DLG3"</f>
        <v>DLG3</v>
      </c>
      <c r="B4440" t="s">
        <v>2</v>
      </c>
    </row>
    <row r="4441" spans="1:2" x14ac:dyDescent="0.2">
      <c r="A4441" t="str">
        <f>"DLG4"</f>
        <v>DLG4</v>
      </c>
      <c r="B4441" t="s">
        <v>7</v>
      </c>
    </row>
    <row r="4442" spans="1:2" x14ac:dyDescent="0.2">
      <c r="A4442" t="str">
        <f>"DLG5"</f>
        <v>DLG5</v>
      </c>
      <c r="B4442" t="s">
        <v>4</v>
      </c>
    </row>
    <row r="4443" spans="1:2" x14ac:dyDescent="0.2">
      <c r="A4443" t="str">
        <f>"DLGAP1"</f>
        <v>DLGAP1</v>
      </c>
      <c r="B4443" t="s">
        <v>5</v>
      </c>
    </row>
    <row r="4444" spans="1:2" x14ac:dyDescent="0.2">
      <c r="A4444" t="str">
        <f>"DLGAP2"</f>
        <v>DLGAP2</v>
      </c>
      <c r="B4444" t="s">
        <v>4</v>
      </c>
    </row>
    <row r="4445" spans="1:2" x14ac:dyDescent="0.2">
      <c r="A4445" t="str">
        <f>"DLGAP3"</f>
        <v>DLGAP3</v>
      </c>
      <c r="B4445" t="s">
        <v>4</v>
      </c>
    </row>
    <row r="4446" spans="1:2" x14ac:dyDescent="0.2">
      <c r="A4446" t="str">
        <f>"DLGAP4"</f>
        <v>DLGAP4</v>
      </c>
      <c r="B4446" t="s">
        <v>4</v>
      </c>
    </row>
    <row r="4447" spans="1:2" x14ac:dyDescent="0.2">
      <c r="A4447" t="str">
        <f>"DLGAP5"</f>
        <v>DLGAP5</v>
      </c>
      <c r="B4447" t="s">
        <v>3</v>
      </c>
    </row>
    <row r="4448" spans="1:2" x14ac:dyDescent="0.2">
      <c r="A4448" t="str">
        <f>"DLK1"</f>
        <v>DLK1</v>
      </c>
      <c r="B4448" t="s">
        <v>5</v>
      </c>
    </row>
    <row r="4449" spans="1:2" x14ac:dyDescent="0.2">
      <c r="A4449" t="str">
        <f>"DLK2"</f>
        <v>DLK2</v>
      </c>
      <c r="B4449" t="s">
        <v>5</v>
      </c>
    </row>
    <row r="4450" spans="1:2" x14ac:dyDescent="0.2">
      <c r="A4450" t="str">
        <f>"DLL1"</f>
        <v>DLL1</v>
      </c>
      <c r="B4450" t="s">
        <v>3</v>
      </c>
    </row>
    <row r="4451" spans="1:2" x14ac:dyDescent="0.2">
      <c r="A4451" t="str">
        <f>"DLL3"</f>
        <v>DLL3</v>
      </c>
      <c r="B4451" t="s">
        <v>3</v>
      </c>
    </row>
    <row r="4452" spans="1:2" x14ac:dyDescent="0.2">
      <c r="A4452" t="str">
        <f>"DLL4"</f>
        <v>DLL4</v>
      </c>
      <c r="B4452" t="s">
        <v>3</v>
      </c>
    </row>
    <row r="4453" spans="1:2" x14ac:dyDescent="0.2">
      <c r="A4453" t="str">
        <f>"DLST"</f>
        <v>DLST</v>
      </c>
      <c r="B4453" t="s">
        <v>3</v>
      </c>
    </row>
    <row r="4454" spans="1:2" x14ac:dyDescent="0.2">
      <c r="A4454" t="str">
        <f>"DLX1"</f>
        <v>DLX1</v>
      </c>
      <c r="B4454" t="s">
        <v>2</v>
      </c>
    </row>
    <row r="4455" spans="1:2" x14ac:dyDescent="0.2">
      <c r="A4455" t="str">
        <f>"DLX2"</f>
        <v>DLX2</v>
      </c>
      <c r="B4455" t="s">
        <v>2</v>
      </c>
    </row>
    <row r="4456" spans="1:2" x14ac:dyDescent="0.2">
      <c r="A4456" t="str">
        <f>"DLX3"</f>
        <v>DLX3</v>
      </c>
      <c r="B4456" t="s">
        <v>2</v>
      </c>
    </row>
    <row r="4457" spans="1:2" x14ac:dyDescent="0.2">
      <c r="A4457" t="str">
        <f>"DLX4"</f>
        <v>DLX4</v>
      </c>
      <c r="B4457" t="s">
        <v>8</v>
      </c>
    </row>
    <row r="4458" spans="1:2" x14ac:dyDescent="0.2">
      <c r="A4458" t="str">
        <f>"DLX5"</f>
        <v>DLX5</v>
      </c>
      <c r="B4458" t="s">
        <v>2</v>
      </c>
    </row>
    <row r="4459" spans="1:2" x14ac:dyDescent="0.2">
      <c r="A4459" t="str">
        <f>"DLX6"</f>
        <v>DLX6</v>
      </c>
      <c r="B4459" t="s">
        <v>8</v>
      </c>
    </row>
    <row r="4460" spans="1:2" x14ac:dyDescent="0.2">
      <c r="A4460" t="str">
        <f>"DMAP1"</f>
        <v>DMAP1</v>
      </c>
      <c r="B4460" t="s">
        <v>8</v>
      </c>
    </row>
    <row r="4461" spans="1:2" x14ac:dyDescent="0.2">
      <c r="A4461" t="str">
        <f>"DMBT1"</f>
        <v>DMBT1</v>
      </c>
      <c r="B4461" t="s">
        <v>3</v>
      </c>
    </row>
    <row r="4462" spans="1:2" x14ac:dyDescent="0.2">
      <c r="A4462" t="str">
        <f>"DMBX1"</f>
        <v>DMBX1</v>
      </c>
      <c r="B4462" t="s">
        <v>8</v>
      </c>
    </row>
    <row r="4463" spans="1:2" x14ac:dyDescent="0.2">
      <c r="A4463" t="str">
        <f>"DMC1"</f>
        <v>DMC1</v>
      </c>
      <c r="B4463" t="s">
        <v>3</v>
      </c>
    </row>
    <row r="4464" spans="1:2" x14ac:dyDescent="0.2">
      <c r="A4464" t="str">
        <f>"DMD"</f>
        <v>DMD</v>
      </c>
      <c r="B4464" t="s">
        <v>2</v>
      </c>
    </row>
    <row r="4465" spans="1:2" x14ac:dyDescent="0.2">
      <c r="A4465" t="str">
        <f>"DMGDH"</f>
        <v>DMGDH</v>
      </c>
      <c r="B4465" t="s">
        <v>6</v>
      </c>
    </row>
    <row r="4466" spans="1:2" x14ac:dyDescent="0.2">
      <c r="A4466" t="str">
        <f>"DMKN"</f>
        <v>DMKN</v>
      </c>
      <c r="B4466" t="s">
        <v>4</v>
      </c>
    </row>
    <row r="4467" spans="1:2" x14ac:dyDescent="0.2">
      <c r="A4467" t="str">
        <f>"DMP1"</f>
        <v>DMP1</v>
      </c>
      <c r="B4467" t="s">
        <v>4</v>
      </c>
    </row>
    <row r="4468" spans="1:2" x14ac:dyDescent="0.2">
      <c r="A4468" t="str">
        <f>"DMPK"</f>
        <v>DMPK</v>
      </c>
      <c r="B4468" t="s">
        <v>7</v>
      </c>
    </row>
    <row r="4469" spans="1:2" x14ac:dyDescent="0.2">
      <c r="A4469" t="str">
        <f>"DMRT1"</f>
        <v>DMRT1</v>
      </c>
      <c r="B4469" t="s">
        <v>8</v>
      </c>
    </row>
    <row r="4470" spans="1:2" x14ac:dyDescent="0.2">
      <c r="A4470" t="str">
        <f>"DMRT2"</f>
        <v>DMRT2</v>
      </c>
      <c r="B4470" t="s">
        <v>8</v>
      </c>
    </row>
    <row r="4471" spans="1:2" x14ac:dyDescent="0.2">
      <c r="A4471" t="str">
        <f>"DMRT3"</f>
        <v>DMRT3</v>
      </c>
      <c r="B4471" t="s">
        <v>8</v>
      </c>
    </row>
    <row r="4472" spans="1:2" x14ac:dyDescent="0.2">
      <c r="A4472" t="str">
        <f>"DMRTA1"</f>
        <v>DMRTA1</v>
      </c>
      <c r="B4472" t="s">
        <v>8</v>
      </c>
    </row>
    <row r="4473" spans="1:2" x14ac:dyDescent="0.2">
      <c r="A4473" t="str">
        <f>"DMRTA2"</f>
        <v>DMRTA2</v>
      </c>
      <c r="B4473" t="s">
        <v>8</v>
      </c>
    </row>
    <row r="4474" spans="1:2" x14ac:dyDescent="0.2">
      <c r="A4474" t="str">
        <f>"DMRTB1"</f>
        <v>DMRTB1</v>
      </c>
      <c r="B4474" t="s">
        <v>8</v>
      </c>
    </row>
    <row r="4475" spans="1:2" x14ac:dyDescent="0.2">
      <c r="A4475" t="str">
        <f>"DMRTC1"</f>
        <v>DMRTC1</v>
      </c>
      <c r="B4475" t="s">
        <v>4</v>
      </c>
    </row>
    <row r="4476" spans="1:2" x14ac:dyDescent="0.2">
      <c r="A4476" t="str">
        <f>"DMRTC1B"</f>
        <v>DMRTC1B</v>
      </c>
      <c r="B4476" t="s">
        <v>8</v>
      </c>
    </row>
    <row r="4477" spans="1:2" x14ac:dyDescent="0.2">
      <c r="A4477" t="str">
        <f>"DMRTC2"</f>
        <v>DMRTC2</v>
      </c>
      <c r="B4477" t="s">
        <v>8</v>
      </c>
    </row>
    <row r="4478" spans="1:2" x14ac:dyDescent="0.2">
      <c r="A4478" t="str">
        <f>"DMTF1"</f>
        <v>DMTF1</v>
      </c>
      <c r="B4478" t="s">
        <v>3</v>
      </c>
    </row>
    <row r="4479" spans="1:2" x14ac:dyDescent="0.2">
      <c r="A4479" t="str">
        <f>"DMTN"</f>
        <v>DMTN</v>
      </c>
      <c r="B4479" t="s">
        <v>4</v>
      </c>
    </row>
    <row r="4480" spans="1:2" x14ac:dyDescent="0.2">
      <c r="A4480" t="str">
        <f>"DMWD"</f>
        <v>DMWD</v>
      </c>
      <c r="B4480" t="s">
        <v>4</v>
      </c>
    </row>
    <row r="4481" spans="1:2" x14ac:dyDescent="0.2">
      <c r="A4481" t="str">
        <f>"DMXL1"</f>
        <v>DMXL1</v>
      </c>
      <c r="B4481" t="s">
        <v>2</v>
      </c>
    </row>
    <row r="4482" spans="1:2" x14ac:dyDescent="0.2">
      <c r="A4482" t="str">
        <f>"DMXL2"</f>
        <v>DMXL2</v>
      </c>
      <c r="B4482" t="s">
        <v>2</v>
      </c>
    </row>
    <row r="4483" spans="1:2" x14ac:dyDescent="0.2">
      <c r="A4483" t="str">
        <f>"DNA2"</f>
        <v>DNA2</v>
      </c>
      <c r="B4483" t="s">
        <v>3</v>
      </c>
    </row>
    <row r="4484" spans="1:2" x14ac:dyDescent="0.2">
      <c r="A4484" t="str">
        <f>"DNAAF1"</f>
        <v>DNAAF1</v>
      </c>
      <c r="B4484" t="s">
        <v>4</v>
      </c>
    </row>
    <row r="4485" spans="1:2" x14ac:dyDescent="0.2">
      <c r="A4485" t="str">
        <f>"DNAAF2"</f>
        <v>DNAAF2</v>
      </c>
      <c r="B4485" t="s">
        <v>4</v>
      </c>
    </row>
    <row r="4486" spans="1:2" x14ac:dyDescent="0.2">
      <c r="A4486" t="str">
        <f>"DNAAF3"</f>
        <v>DNAAF3</v>
      </c>
      <c r="B4486" t="s">
        <v>4</v>
      </c>
    </row>
    <row r="4487" spans="1:2" x14ac:dyDescent="0.2">
      <c r="A4487" t="str">
        <f>"DNAH1"</f>
        <v>DNAH1</v>
      </c>
      <c r="B4487" t="s">
        <v>6</v>
      </c>
    </row>
    <row r="4488" spans="1:2" x14ac:dyDescent="0.2">
      <c r="A4488" t="str">
        <f>"DNAH10"</f>
        <v>DNAH10</v>
      </c>
      <c r="B4488" t="s">
        <v>6</v>
      </c>
    </row>
    <row r="4489" spans="1:2" x14ac:dyDescent="0.2">
      <c r="A4489" t="str">
        <f>"DNAH11"</f>
        <v>DNAH11</v>
      </c>
      <c r="B4489" t="s">
        <v>2</v>
      </c>
    </row>
    <row r="4490" spans="1:2" x14ac:dyDescent="0.2">
      <c r="A4490" t="str">
        <f>"DNAH12"</f>
        <v>DNAH12</v>
      </c>
      <c r="B4490" t="s">
        <v>6</v>
      </c>
    </row>
    <row r="4491" spans="1:2" x14ac:dyDescent="0.2">
      <c r="A4491" t="str">
        <f>"DNAH14"</f>
        <v>DNAH14</v>
      </c>
      <c r="B4491" t="s">
        <v>4</v>
      </c>
    </row>
    <row r="4492" spans="1:2" x14ac:dyDescent="0.2">
      <c r="A4492" t="str">
        <f>"DNAH17"</f>
        <v>DNAH17</v>
      </c>
      <c r="B4492" t="s">
        <v>6</v>
      </c>
    </row>
    <row r="4493" spans="1:2" x14ac:dyDescent="0.2">
      <c r="A4493" t="str">
        <f>"DNAH2"</f>
        <v>DNAH2</v>
      </c>
      <c r="B4493" t="s">
        <v>2</v>
      </c>
    </row>
    <row r="4494" spans="1:2" x14ac:dyDescent="0.2">
      <c r="A4494" t="str">
        <f>"DNAH3"</f>
        <v>DNAH3</v>
      </c>
      <c r="B4494" t="s">
        <v>6</v>
      </c>
    </row>
    <row r="4495" spans="1:2" x14ac:dyDescent="0.2">
      <c r="A4495" t="str">
        <f>"DNAH5"</f>
        <v>DNAH5</v>
      </c>
      <c r="B4495" t="s">
        <v>2</v>
      </c>
    </row>
    <row r="4496" spans="1:2" x14ac:dyDescent="0.2">
      <c r="A4496" t="str">
        <f>"DNAH6"</f>
        <v>DNAH6</v>
      </c>
      <c r="B4496" t="s">
        <v>6</v>
      </c>
    </row>
    <row r="4497" spans="1:2" x14ac:dyDescent="0.2">
      <c r="A4497" t="str">
        <f>"DNAH7"</f>
        <v>DNAH7</v>
      </c>
      <c r="B4497" t="s">
        <v>6</v>
      </c>
    </row>
    <row r="4498" spans="1:2" x14ac:dyDescent="0.2">
      <c r="A4498" t="str">
        <f>"DNAH8"</f>
        <v>DNAH8</v>
      </c>
      <c r="B4498" t="s">
        <v>3</v>
      </c>
    </row>
    <row r="4499" spans="1:2" x14ac:dyDescent="0.2">
      <c r="A4499" t="str">
        <f>"DNAH9"</f>
        <v>DNAH9</v>
      </c>
      <c r="B4499" t="s">
        <v>2</v>
      </c>
    </row>
    <row r="4500" spans="1:2" x14ac:dyDescent="0.2">
      <c r="A4500" t="str">
        <f>"DNAI1"</f>
        <v>DNAI1</v>
      </c>
      <c r="B4500" t="s">
        <v>6</v>
      </c>
    </row>
    <row r="4501" spans="1:2" x14ac:dyDescent="0.2">
      <c r="A4501" t="str">
        <f>"DNAI2"</f>
        <v>DNAI2</v>
      </c>
      <c r="B4501" t="s">
        <v>6</v>
      </c>
    </row>
    <row r="4502" spans="1:2" x14ac:dyDescent="0.2">
      <c r="A4502" t="str">
        <f>"DNAJA1"</f>
        <v>DNAJA1</v>
      </c>
      <c r="B4502" t="s">
        <v>2</v>
      </c>
    </row>
    <row r="4503" spans="1:2" x14ac:dyDescent="0.2">
      <c r="A4503" t="str">
        <f>"DNAJA2"</f>
        <v>DNAJA2</v>
      </c>
      <c r="B4503" t="s">
        <v>2</v>
      </c>
    </row>
    <row r="4504" spans="1:2" x14ac:dyDescent="0.2">
      <c r="A4504" t="str">
        <f>"DNAJA3"</f>
        <v>DNAJA3</v>
      </c>
      <c r="B4504" t="s">
        <v>2</v>
      </c>
    </row>
    <row r="4505" spans="1:2" x14ac:dyDescent="0.2">
      <c r="A4505" t="str">
        <f>"DNAJA4"</f>
        <v>DNAJA4</v>
      </c>
      <c r="B4505" t="s">
        <v>2</v>
      </c>
    </row>
    <row r="4506" spans="1:2" x14ac:dyDescent="0.2">
      <c r="A4506" t="str">
        <f>"DNAJB1"</f>
        <v>DNAJB1</v>
      </c>
      <c r="B4506" t="s">
        <v>2</v>
      </c>
    </row>
    <row r="4507" spans="1:2" x14ac:dyDescent="0.2">
      <c r="A4507" t="str">
        <f>"DNAJB11"</f>
        <v>DNAJB11</v>
      </c>
      <c r="B4507" t="s">
        <v>2</v>
      </c>
    </row>
    <row r="4508" spans="1:2" x14ac:dyDescent="0.2">
      <c r="A4508" t="str">
        <f>"DNAJB12"</f>
        <v>DNAJB12</v>
      </c>
      <c r="B4508" t="s">
        <v>2</v>
      </c>
    </row>
    <row r="4509" spans="1:2" x14ac:dyDescent="0.2">
      <c r="A4509" t="str">
        <f>"DNAJB13"</f>
        <v>DNAJB13</v>
      </c>
      <c r="B4509" t="s">
        <v>2</v>
      </c>
    </row>
    <row r="4510" spans="1:2" x14ac:dyDescent="0.2">
      <c r="A4510" t="str">
        <f>"DNAJB14"</f>
        <v>DNAJB14</v>
      </c>
      <c r="B4510" t="s">
        <v>2</v>
      </c>
    </row>
    <row r="4511" spans="1:2" x14ac:dyDescent="0.2">
      <c r="A4511" t="str">
        <f>"DNAJB2"</f>
        <v>DNAJB2</v>
      </c>
      <c r="B4511" t="s">
        <v>2</v>
      </c>
    </row>
    <row r="4512" spans="1:2" x14ac:dyDescent="0.2">
      <c r="A4512" t="str">
        <f>"DNAJB4"</f>
        <v>DNAJB4</v>
      </c>
      <c r="B4512" t="s">
        <v>2</v>
      </c>
    </row>
    <row r="4513" spans="1:2" x14ac:dyDescent="0.2">
      <c r="A4513" t="str">
        <f>"DNAJB5"</f>
        <v>DNAJB5</v>
      </c>
      <c r="B4513" t="s">
        <v>2</v>
      </c>
    </row>
    <row r="4514" spans="1:2" x14ac:dyDescent="0.2">
      <c r="A4514" t="str">
        <f>"DNAJB6"</f>
        <v>DNAJB6</v>
      </c>
      <c r="B4514" t="s">
        <v>2</v>
      </c>
    </row>
    <row r="4515" spans="1:2" x14ac:dyDescent="0.2">
      <c r="A4515" t="str">
        <f>"DNAJB7"</f>
        <v>DNAJB7</v>
      </c>
      <c r="B4515" t="s">
        <v>2</v>
      </c>
    </row>
    <row r="4516" spans="1:2" x14ac:dyDescent="0.2">
      <c r="A4516" t="str">
        <f>"DNAJB8"</f>
        <v>DNAJB8</v>
      </c>
      <c r="B4516" t="s">
        <v>2</v>
      </c>
    </row>
    <row r="4517" spans="1:2" x14ac:dyDescent="0.2">
      <c r="A4517" t="str">
        <f>"DNAJB9"</f>
        <v>DNAJB9</v>
      </c>
      <c r="B4517" t="s">
        <v>2</v>
      </c>
    </row>
    <row r="4518" spans="1:2" x14ac:dyDescent="0.2">
      <c r="A4518" t="str">
        <f>"DNAJC1"</f>
        <v>DNAJC1</v>
      </c>
      <c r="B4518" t="s">
        <v>2</v>
      </c>
    </row>
    <row r="4519" spans="1:2" x14ac:dyDescent="0.2">
      <c r="A4519" t="str">
        <f>"DNAJC10"</f>
        <v>DNAJC10</v>
      </c>
      <c r="B4519" t="s">
        <v>2</v>
      </c>
    </row>
    <row r="4520" spans="1:2" x14ac:dyDescent="0.2">
      <c r="A4520" t="str">
        <f>"DNAJC11"</f>
        <v>DNAJC11</v>
      </c>
      <c r="B4520" t="s">
        <v>2</v>
      </c>
    </row>
    <row r="4521" spans="1:2" x14ac:dyDescent="0.2">
      <c r="A4521" t="str">
        <f>"DNAJC12"</f>
        <v>DNAJC12</v>
      </c>
      <c r="B4521" t="s">
        <v>2</v>
      </c>
    </row>
    <row r="4522" spans="1:2" x14ac:dyDescent="0.2">
      <c r="A4522" t="str">
        <f>"DNAJC13"</f>
        <v>DNAJC13</v>
      </c>
      <c r="B4522" t="s">
        <v>2</v>
      </c>
    </row>
    <row r="4523" spans="1:2" x14ac:dyDescent="0.2">
      <c r="A4523" t="str">
        <f>"DNAJC14"</f>
        <v>DNAJC14</v>
      </c>
      <c r="B4523" t="s">
        <v>2</v>
      </c>
    </row>
    <row r="4524" spans="1:2" x14ac:dyDescent="0.2">
      <c r="A4524" t="str">
        <f>"DNAJC15"</f>
        <v>DNAJC15</v>
      </c>
      <c r="B4524" t="s">
        <v>2</v>
      </c>
    </row>
    <row r="4525" spans="1:2" x14ac:dyDescent="0.2">
      <c r="A4525" t="str">
        <f>"DNAJC16"</f>
        <v>DNAJC16</v>
      </c>
      <c r="B4525" t="s">
        <v>2</v>
      </c>
    </row>
    <row r="4526" spans="1:2" x14ac:dyDescent="0.2">
      <c r="A4526" t="str">
        <f>"DNAJC17"</f>
        <v>DNAJC17</v>
      </c>
      <c r="B4526" t="s">
        <v>2</v>
      </c>
    </row>
    <row r="4527" spans="1:2" x14ac:dyDescent="0.2">
      <c r="A4527" t="str">
        <f>"DNAJC18"</f>
        <v>DNAJC18</v>
      </c>
      <c r="B4527" t="s">
        <v>2</v>
      </c>
    </row>
    <row r="4528" spans="1:2" x14ac:dyDescent="0.2">
      <c r="A4528" t="str">
        <f>"DNAJC19"</f>
        <v>DNAJC19</v>
      </c>
      <c r="B4528" t="s">
        <v>2</v>
      </c>
    </row>
    <row r="4529" spans="1:2" x14ac:dyDescent="0.2">
      <c r="A4529" t="str">
        <f>"DNAJC2"</f>
        <v>DNAJC2</v>
      </c>
      <c r="B4529" t="s">
        <v>2</v>
      </c>
    </row>
    <row r="4530" spans="1:2" x14ac:dyDescent="0.2">
      <c r="A4530" t="str">
        <f>"DNAJC21"</f>
        <v>DNAJC21</v>
      </c>
      <c r="B4530" t="s">
        <v>2</v>
      </c>
    </row>
    <row r="4531" spans="1:2" x14ac:dyDescent="0.2">
      <c r="A4531" t="str">
        <f>"DNAJC22"</f>
        <v>DNAJC22</v>
      </c>
      <c r="B4531" t="s">
        <v>2</v>
      </c>
    </row>
    <row r="4532" spans="1:2" x14ac:dyDescent="0.2">
      <c r="A4532" t="str">
        <f>"DNAJC24"</f>
        <v>DNAJC24</v>
      </c>
      <c r="B4532" t="s">
        <v>2</v>
      </c>
    </row>
    <row r="4533" spans="1:2" x14ac:dyDescent="0.2">
      <c r="A4533" t="str">
        <f>"DNAJC25"</f>
        <v>DNAJC25</v>
      </c>
      <c r="B4533" t="s">
        <v>2</v>
      </c>
    </row>
    <row r="4534" spans="1:2" x14ac:dyDescent="0.2">
      <c r="A4534" t="str">
        <f>"DNAJC25-GNG10"</f>
        <v>DNAJC25-GNG10</v>
      </c>
      <c r="B4534" t="s">
        <v>6</v>
      </c>
    </row>
    <row r="4535" spans="1:2" x14ac:dyDescent="0.2">
      <c r="A4535" t="str">
        <f>"DNAJC27"</f>
        <v>DNAJC27</v>
      </c>
      <c r="B4535" t="s">
        <v>2</v>
      </c>
    </row>
    <row r="4536" spans="1:2" x14ac:dyDescent="0.2">
      <c r="A4536" t="str">
        <f>"DNAJC28"</f>
        <v>DNAJC28</v>
      </c>
      <c r="B4536" t="s">
        <v>2</v>
      </c>
    </row>
    <row r="4537" spans="1:2" x14ac:dyDescent="0.2">
      <c r="A4537" t="str">
        <f>"DNAJC3"</f>
        <v>DNAJC3</v>
      </c>
      <c r="B4537" t="s">
        <v>2</v>
      </c>
    </row>
    <row r="4538" spans="1:2" x14ac:dyDescent="0.2">
      <c r="A4538" t="str">
        <f>"DNAJC30"</f>
        <v>DNAJC30</v>
      </c>
      <c r="B4538" t="s">
        <v>2</v>
      </c>
    </row>
    <row r="4539" spans="1:2" x14ac:dyDescent="0.2">
      <c r="A4539" t="str">
        <f>"DNAJC4"</f>
        <v>DNAJC4</v>
      </c>
      <c r="B4539" t="s">
        <v>2</v>
      </c>
    </row>
    <row r="4540" spans="1:2" x14ac:dyDescent="0.2">
      <c r="A4540" t="str">
        <f>"DNAJC5"</f>
        <v>DNAJC5</v>
      </c>
      <c r="B4540" t="s">
        <v>2</v>
      </c>
    </row>
    <row r="4541" spans="1:2" x14ac:dyDescent="0.2">
      <c r="A4541" t="str">
        <f>"DNAJC5B"</f>
        <v>DNAJC5B</v>
      </c>
      <c r="B4541" t="s">
        <v>2</v>
      </c>
    </row>
    <row r="4542" spans="1:2" x14ac:dyDescent="0.2">
      <c r="A4542" t="str">
        <f>"DNAJC5G"</f>
        <v>DNAJC5G</v>
      </c>
      <c r="B4542" t="s">
        <v>2</v>
      </c>
    </row>
    <row r="4543" spans="1:2" x14ac:dyDescent="0.2">
      <c r="A4543" t="str">
        <f>"DNAJC6"</f>
        <v>DNAJC6</v>
      </c>
      <c r="B4543" t="s">
        <v>2</v>
      </c>
    </row>
    <row r="4544" spans="1:2" x14ac:dyDescent="0.2">
      <c r="A4544" t="str">
        <f>"DNAJC7"</f>
        <v>DNAJC7</v>
      </c>
      <c r="B4544" t="s">
        <v>2</v>
      </c>
    </row>
    <row r="4545" spans="1:2" x14ac:dyDescent="0.2">
      <c r="A4545" t="str">
        <f>"DNAJC8"</f>
        <v>DNAJC8</v>
      </c>
      <c r="B4545" t="s">
        <v>2</v>
      </c>
    </row>
    <row r="4546" spans="1:2" x14ac:dyDescent="0.2">
      <c r="A4546" t="str">
        <f>"DNAJC9"</f>
        <v>DNAJC9</v>
      </c>
      <c r="B4546" t="s">
        <v>2</v>
      </c>
    </row>
    <row r="4547" spans="1:2" x14ac:dyDescent="0.2">
      <c r="A4547" t="str">
        <f>"DNAL1"</f>
        <v>DNAL1</v>
      </c>
      <c r="B4547" t="s">
        <v>6</v>
      </c>
    </row>
    <row r="4548" spans="1:2" x14ac:dyDescent="0.2">
      <c r="A4548" t="str">
        <f>"DNAL4"</f>
        <v>DNAL4</v>
      </c>
      <c r="B4548" t="s">
        <v>2</v>
      </c>
    </row>
    <row r="4549" spans="1:2" x14ac:dyDescent="0.2">
      <c r="A4549" t="str">
        <f>"DNALI1"</f>
        <v>DNALI1</v>
      </c>
      <c r="B4549" t="s">
        <v>6</v>
      </c>
    </row>
    <row r="4550" spans="1:2" x14ac:dyDescent="0.2">
      <c r="A4550" t="str">
        <f>"DNASE1"</f>
        <v>DNASE1</v>
      </c>
      <c r="B4550" t="s">
        <v>7</v>
      </c>
    </row>
    <row r="4551" spans="1:2" x14ac:dyDescent="0.2">
      <c r="A4551" t="str">
        <f>"DNASE1L1"</f>
        <v>DNASE1L1</v>
      </c>
      <c r="B4551" t="s">
        <v>2</v>
      </c>
    </row>
    <row r="4552" spans="1:2" x14ac:dyDescent="0.2">
      <c r="A4552" t="str">
        <f>"DNASE1L2"</f>
        <v>DNASE1L2</v>
      </c>
      <c r="B4552" t="s">
        <v>8</v>
      </c>
    </row>
    <row r="4553" spans="1:2" x14ac:dyDescent="0.2">
      <c r="A4553" t="str">
        <f>"DNASE1L3"</f>
        <v>DNASE1L3</v>
      </c>
      <c r="B4553" t="s">
        <v>8</v>
      </c>
    </row>
    <row r="4554" spans="1:2" x14ac:dyDescent="0.2">
      <c r="A4554" t="str">
        <f>"DNASE2"</f>
        <v>DNASE2</v>
      </c>
      <c r="B4554" t="s">
        <v>2</v>
      </c>
    </row>
    <row r="4555" spans="1:2" x14ac:dyDescent="0.2">
      <c r="A4555" t="str">
        <f>"DNASE2B"</f>
        <v>DNASE2B</v>
      </c>
      <c r="B4555" t="s">
        <v>2</v>
      </c>
    </row>
    <row r="4556" spans="1:2" x14ac:dyDescent="0.2">
      <c r="A4556" t="str">
        <f>"DND1"</f>
        <v>DND1</v>
      </c>
      <c r="B4556" t="s">
        <v>8</v>
      </c>
    </row>
    <row r="4557" spans="1:2" x14ac:dyDescent="0.2">
      <c r="A4557" t="str">
        <f>"DNER"</f>
        <v>DNER</v>
      </c>
      <c r="B4557" t="s">
        <v>6</v>
      </c>
    </row>
    <row r="4558" spans="1:2" x14ac:dyDescent="0.2">
      <c r="A4558" t="str">
        <f>"DNHD1"</f>
        <v>DNHD1</v>
      </c>
      <c r="B4558" t="s">
        <v>2</v>
      </c>
    </row>
    <row r="4559" spans="1:2" x14ac:dyDescent="0.2">
      <c r="A4559" t="str">
        <f>"DNLZ"</f>
        <v>DNLZ</v>
      </c>
      <c r="B4559" t="s">
        <v>6</v>
      </c>
    </row>
    <row r="4560" spans="1:2" x14ac:dyDescent="0.2">
      <c r="A4560" t="str">
        <f>"DNM1"</f>
        <v>DNM1</v>
      </c>
      <c r="B4560" t="s">
        <v>3</v>
      </c>
    </row>
    <row r="4561" spans="1:2" x14ac:dyDescent="0.2">
      <c r="A4561" t="str">
        <f>"DNM1L"</f>
        <v>DNM1L</v>
      </c>
      <c r="B4561" t="s">
        <v>2</v>
      </c>
    </row>
    <row r="4562" spans="1:2" x14ac:dyDescent="0.2">
      <c r="A4562" t="str">
        <f>"DNM2"</f>
        <v>DNM2</v>
      </c>
      <c r="B4562" t="s">
        <v>3</v>
      </c>
    </row>
    <row r="4563" spans="1:2" x14ac:dyDescent="0.2">
      <c r="A4563" t="str">
        <f>"DNM3"</f>
        <v>DNM3</v>
      </c>
      <c r="B4563" t="s">
        <v>3</v>
      </c>
    </row>
    <row r="4564" spans="1:2" x14ac:dyDescent="0.2">
      <c r="A4564" t="str">
        <f>"DNMBP"</f>
        <v>DNMBP</v>
      </c>
      <c r="B4564" t="s">
        <v>2</v>
      </c>
    </row>
    <row r="4565" spans="1:2" x14ac:dyDescent="0.2">
      <c r="A4565" t="str">
        <f>"DNMT1"</f>
        <v>DNMT1</v>
      </c>
      <c r="B4565" t="s">
        <v>3</v>
      </c>
    </row>
    <row r="4566" spans="1:2" x14ac:dyDescent="0.2">
      <c r="A4566" t="str">
        <f>"DNMT3A"</f>
        <v>DNMT3A</v>
      </c>
      <c r="B4566" t="s">
        <v>3</v>
      </c>
    </row>
    <row r="4567" spans="1:2" x14ac:dyDescent="0.2">
      <c r="A4567" t="str">
        <f>"DNMT3B"</f>
        <v>DNMT3B</v>
      </c>
      <c r="B4567" t="s">
        <v>3</v>
      </c>
    </row>
    <row r="4568" spans="1:2" x14ac:dyDescent="0.2">
      <c r="A4568" t="str">
        <f>"DNMT3L"</f>
        <v>DNMT3L</v>
      </c>
      <c r="B4568" t="s">
        <v>8</v>
      </c>
    </row>
    <row r="4569" spans="1:2" x14ac:dyDescent="0.2">
      <c r="A4569" t="str">
        <f>"DNPEP"</f>
        <v>DNPEP</v>
      </c>
      <c r="B4569" t="s">
        <v>7</v>
      </c>
    </row>
    <row r="4570" spans="1:2" x14ac:dyDescent="0.2">
      <c r="A4570" t="str">
        <f>"DNPH1"</f>
        <v>DNPH1</v>
      </c>
      <c r="B4570" t="s">
        <v>4</v>
      </c>
    </row>
    <row r="4571" spans="1:2" x14ac:dyDescent="0.2">
      <c r="A4571" t="str">
        <f>"DNTT"</f>
        <v>DNTT</v>
      </c>
      <c r="B4571" t="s">
        <v>7</v>
      </c>
    </row>
    <row r="4572" spans="1:2" x14ac:dyDescent="0.2">
      <c r="A4572" t="str">
        <f>"DNTTIP1"</f>
        <v>DNTTIP1</v>
      </c>
      <c r="B4572" t="s">
        <v>8</v>
      </c>
    </row>
    <row r="4573" spans="1:2" x14ac:dyDescent="0.2">
      <c r="A4573" t="str">
        <f>"DNTTIP2"</f>
        <v>DNTTIP2</v>
      </c>
      <c r="B4573" t="s">
        <v>8</v>
      </c>
    </row>
    <row r="4574" spans="1:2" x14ac:dyDescent="0.2">
      <c r="A4574" t="str">
        <f>"DOC2A"</f>
        <v>DOC2A</v>
      </c>
      <c r="B4574" t="s">
        <v>6</v>
      </c>
    </row>
    <row r="4575" spans="1:2" x14ac:dyDescent="0.2">
      <c r="A4575" t="str">
        <f>"DOC2B"</f>
        <v>DOC2B</v>
      </c>
      <c r="B4575" t="s">
        <v>6</v>
      </c>
    </row>
    <row r="4576" spans="1:2" x14ac:dyDescent="0.2">
      <c r="A4576" t="str">
        <f>"DOCK1"</f>
        <v>DOCK1</v>
      </c>
      <c r="B4576" t="s">
        <v>3</v>
      </c>
    </row>
    <row r="4577" spans="1:2" x14ac:dyDescent="0.2">
      <c r="A4577" t="str">
        <f>"DOCK10"</f>
        <v>DOCK10</v>
      </c>
      <c r="B4577" t="s">
        <v>6</v>
      </c>
    </row>
    <row r="4578" spans="1:2" x14ac:dyDescent="0.2">
      <c r="A4578" t="str">
        <f>"DOCK11"</f>
        <v>DOCK11</v>
      </c>
      <c r="B4578" t="s">
        <v>6</v>
      </c>
    </row>
    <row r="4579" spans="1:2" x14ac:dyDescent="0.2">
      <c r="A4579" t="str">
        <f>"DOCK2"</f>
        <v>DOCK2</v>
      </c>
      <c r="B4579" t="s">
        <v>2</v>
      </c>
    </row>
    <row r="4580" spans="1:2" x14ac:dyDescent="0.2">
      <c r="A4580" t="str">
        <f>"DOCK3"</f>
        <v>DOCK3</v>
      </c>
      <c r="B4580" t="s">
        <v>6</v>
      </c>
    </row>
    <row r="4581" spans="1:2" x14ac:dyDescent="0.2">
      <c r="A4581" t="str">
        <f>"DOCK4"</f>
        <v>DOCK4</v>
      </c>
      <c r="B4581" t="s">
        <v>6</v>
      </c>
    </row>
    <row r="4582" spans="1:2" x14ac:dyDescent="0.2">
      <c r="A4582" t="str">
        <f>"DOCK5"</f>
        <v>DOCK5</v>
      </c>
      <c r="B4582" t="s">
        <v>6</v>
      </c>
    </row>
    <row r="4583" spans="1:2" x14ac:dyDescent="0.2">
      <c r="A4583" t="str">
        <f>"DOCK6"</f>
        <v>DOCK6</v>
      </c>
      <c r="B4583" t="s">
        <v>6</v>
      </c>
    </row>
    <row r="4584" spans="1:2" x14ac:dyDescent="0.2">
      <c r="A4584" t="str">
        <f>"DOCK7"</f>
        <v>DOCK7</v>
      </c>
      <c r="B4584" t="s">
        <v>4</v>
      </c>
    </row>
    <row r="4585" spans="1:2" x14ac:dyDescent="0.2">
      <c r="A4585" t="str">
        <f>"DOCK8"</f>
        <v>DOCK8</v>
      </c>
      <c r="B4585" t="s">
        <v>6</v>
      </c>
    </row>
    <row r="4586" spans="1:2" x14ac:dyDescent="0.2">
      <c r="A4586" t="str">
        <f>"DOCK9"</f>
        <v>DOCK9</v>
      </c>
      <c r="B4586" t="s">
        <v>3</v>
      </c>
    </row>
    <row r="4587" spans="1:2" x14ac:dyDescent="0.2">
      <c r="A4587" t="str">
        <f>"DOHH"</f>
        <v>DOHH</v>
      </c>
      <c r="B4587" t="s">
        <v>8</v>
      </c>
    </row>
    <row r="4588" spans="1:2" x14ac:dyDescent="0.2">
      <c r="A4588" t="str">
        <f>"DOK1"</f>
        <v>DOK1</v>
      </c>
      <c r="B4588" t="s">
        <v>7</v>
      </c>
    </row>
    <row r="4589" spans="1:2" x14ac:dyDescent="0.2">
      <c r="A4589" t="str">
        <f>"DOK2"</f>
        <v>DOK2</v>
      </c>
      <c r="B4589" t="s">
        <v>4</v>
      </c>
    </row>
    <row r="4590" spans="1:2" x14ac:dyDescent="0.2">
      <c r="A4590" t="str">
        <f>"DOK3"</f>
        <v>DOK3</v>
      </c>
      <c r="B4590" t="s">
        <v>4</v>
      </c>
    </row>
    <row r="4591" spans="1:2" x14ac:dyDescent="0.2">
      <c r="A4591" t="str">
        <f>"DOK4"</f>
        <v>DOK4</v>
      </c>
      <c r="B4591" t="s">
        <v>4</v>
      </c>
    </row>
    <row r="4592" spans="1:2" x14ac:dyDescent="0.2">
      <c r="A4592" t="str">
        <f>"DOK5"</f>
        <v>DOK5</v>
      </c>
      <c r="B4592" t="s">
        <v>4</v>
      </c>
    </row>
    <row r="4593" spans="1:2" x14ac:dyDescent="0.2">
      <c r="A4593" t="str">
        <f>"DOK6"</f>
        <v>DOK6</v>
      </c>
      <c r="B4593" t="s">
        <v>4</v>
      </c>
    </row>
    <row r="4594" spans="1:2" x14ac:dyDescent="0.2">
      <c r="A4594" t="str">
        <f>"DOK7"</f>
        <v>DOK7</v>
      </c>
      <c r="B4594" t="s">
        <v>4</v>
      </c>
    </row>
    <row r="4595" spans="1:2" x14ac:dyDescent="0.2">
      <c r="A4595" t="str">
        <f>"DOLK"</f>
        <v>DOLK</v>
      </c>
      <c r="B4595" t="s">
        <v>2</v>
      </c>
    </row>
    <row r="4596" spans="1:2" x14ac:dyDescent="0.2">
      <c r="A4596" t="str">
        <f>"DOLPP1"</f>
        <v>DOLPP1</v>
      </c>
      <c r="B4596" t="s">
        <v>7</v>
      </c>
    </row>
    <row r="4597" spans="1:2" x14ac:dyDescent="0.2">
      <c r="A4597" t="str">
        <f>"DONSON"</f>
        <v>DONSON</v>
      </c>
      <c r="B4597" t="s">
        <v>4</v>
      </c>
    </row>
    <row r="4598" spans="1:2" x14ac:dyDescent="0.2">
      <c r="A4598" t="str">
        <f>"DOPEY1"</f>
        <v>DOPEY1</v>
      </c>
      <c r="B4598" t="s">
        <v>2</v>
      </c>
    </row>
    <row r="4599" spans="1:2" x14ac:dyDescent="0.2">
      <c r="A4599" t="str">
        <f>"DOPEY2"</f>
        <v>DOPEY2</v>
      </c>
      <c r="B4599" t="s">
        <v>6</v>
      </c>
    </row>
    <row r="4600" spans="1:2" x14ac:dyDescent="0.2">
      <c r="A4600" t="str">
        <f>"DOT1L"</f>
        <v>DOT1L</v>
      </c>
      <c r="B4600" t="s">
        <v>3</v>
      </c>
    </row>
    <row r="4601" spans="1:2" x14ac:dyDescent="0.2">
      <c r="A4601" t="str">
        <f>"DPAGT1"</f>
        <v>DPAGT1</v>
      </c>
      <c r="B4601" t="s">
        <v>3</v>
      </c>
    </row>
    <row r="4602" spans="1:2" x14ac:dyDescent="0.2">
      <c r="A4602" t="str">
        <f>"DPCD"</f>
        <v>DPCD</v>
      </c>
      <c r="B4602" t="s">
        <v>4</v>
      </c>
    </row>
    <row r="4603" spans="1:2" x14ac:dyDescent="0.2">
      <c r="A4603" t="str">
        <f>"DPCR1"</f>
        <v>DPCR1</v>
      </c>
      <c r="B4603" t="s">
        <v>5</v>
      </c>
    </row>
    <row r="4604" spans="1:2" x14ac:dyDescent="0.2">
      <c r="A4604" t="str">
        <f>"DPEP1"</f>
        <v>DPEP1</v>
      </c>
      <c r="B4604" t="s">
        <v>7</v>
      </c>
    </row>
    <row r="4605" spans="1:2" x14ac:dyDescent="0.2">
      <c r="A4605" t="str">
        <f>"DPEP2"</f>
        <v>DPEP2</v>
      </c>
      <c r="B4605" t="s">
        <v>2</v>
      </c>
    </row>
    <row r="4606" spans="1:2" x14ac:dyDescent="0.2">
      <c r="A4606" t="str">
        <f>"DPEP3"</f>
        <v>DPEP3</v>
      </c>
      <c r="B4606" t="s">
        <v>2</v>
      </c>
    </row>
    <row r="4607" spans="1:2" x14ac:dyDescent="0.2">
      <c r="A4607" t="str">
        <f>"DPF1"</f>
        <v>DPF1</v>
      </c>
      <c r="B4607" t="s">
        <v>2</v>
      </c>
    </row>
    <row r="4608" spans="1:2" x14ac:dyDescent="0.2">
      <c r="A4608" t="str">
        <f>"DPF2"</f>
        <v>DPF2</v>
      </c>
      <c r="B4608" t="s">
        <v>2</v>
      </c>
    </row>
    <row r="4609" spans="1:2" x14ac:dyDescent="0.2">
      <c r="A4609" t="str">
        <f>"DPF3"</f>
        <v>DPF3</v>
      </c>
      <c r="B4609" t="s">
        <v>2</v>
      </c>
    </row>
    <row r="4610" spans="1:2" x14ac:dyDescent="0.2">
      <c r="A4610" t="str">
        <f>"DPH1"</f>
        <v>DPH1</v>
      </c>
      <c r="B4610" t="s">
        <v>3</v>
      </c>
    </row>
    <row r="4611" spans="1:2" x14ac:dyDescent="0.2">
      <c r="A4611" t="str">
        <f>"DPH2"</f>
        <v>DPH2</v>
      </c>
      <c r="B4611" t="s">
        <v>8</v>
      </c>
    </row>
    <row r="4612" spans="1:2" x14ac:dyDescent="0.2">
      <c r="A4612" t="str">
        <f>"DPH3"</f>
        <v>DPH3</v>
      </c>
      <c r="B4612" t="s">
        <v>2</v>
      </c>
    </row>
    <row r="4613" spans="1:2" x14ac:dyDescent="0.2">
      <c r="A4613" t="str">
        <f>"DPH5"</f>
        <v>DPH5</v>
      </c>
      <c r="B4613" t="s">
        <v>7</v>
      </c>
    </row>
    <row r="4614" spans="1:2" x14ac:dyDescent="0.2">
      <c r="A4614" t="str">
        <f>"DPH6"</f>
        <v>DPH6</v>
      </c>
      <c r="B4614" t="s">
        <v>4</v>
      </c>
    </row>
    <row r="4615" spans="1:2" x14ac:dyDescent="0.2">
      <c r="A4615" t="str">
        <f>"DPH7"</f>
        <v>DPH7</v>
      </c>
      <c r="B4615" t="s">
        <v>4</v>
      </c>
    </row>
    <row r="4616" spans="1:2" x14ac:dyDescent="0.2">
      <c r="A4616" t="str">
        <f>"DPM1"</f>
        <v>DPM1</v>
      </c>
      <c r="B4616" t="s">
        <v>6</v>
      </c>
    </row>
    <row r="4617" spans="1:2" x14ac:dyDescent="0.2">
      <c r="A4617" t="str">
        <f>"DPM2"</f>
        <v>DPM2</v>
      </c>
      <c r="B4617" t="s">
        <v>6</v>
      </c>
    </row>
    <row r="4618" spans="1:2" x14ac:dyDescent="0.2">
      <c r="A4618" t="str">
        <f>"DPM3"</f>
        <v>DPM3</v>
      </c>
      <c r="B4618" t="s">
        <v>6</v>
      </c>
    </row>
    <row r="4619" spans="1:2" x14ac:dyDescent="0.2">
      <c r="A4619" t="str">
        <f>"DPP10"</f>
        <v>DPP10</v>
      </c>
      <c r="B4619" t="s">
        <v>3</v>
      </c>
    </row>
    <row r="4620" spans="1:2" x14ac:dyDescent="0.2">
      <c r="A4620" t="str">
        <f>"DPP3"</f>
        <v>DPP3</v>
      </c>
      <c r="B4620" t="s">
        <v>2</v>
      </c>
    </row>
    <row r="4621" spans="1:2" x14ac:dyDescent="0.2">
      <c r="A4621" t="str">
        <f>"DPP4"</f>
        <v>DPP4</v>
      </c>
      <c r="B4621" t="s">
        <v>7</v>
      </c>
    </row>
    <row r="4622" spans="1:2" x14ac:dyDescent="0.2">
      <c r="A4622" t="str">
        <f>"DPP6"</f>
        <v>DPP6</v>
      </c>
      <c r="B4622" t="s">
        <v>7</v>
      </c>
    </row>
    <row r="4623" spans="1:2" x14ac:dyDescent="0.2">
      <c r="A4623" t="str">
        <f>"DPP7"</f>
        <v>DPP7</v>
      </c>
      <c r="B4623" t="s">
        <v>2</v>
      </c>
    </row>
    <row r="4624" spans="1:2" x14ac:dyDescent="0.2">
      <c r="A4624" t="str">
        <f>"DPP8"</f>
        <v>DPP8</v>
      </c>
      <c r="B4624" t="s">
        <v>2</v>
      </c>
    </row>
    <row r="4625" spans="1:2" x14ac:dyDescent="0.2">
      <c r="A4625" t="str">
        <f>"DPP9"</f>
        <v>DPP9</v>
      </c>
      <c r="B4625" t="s">
        <v>4</v>
      </c>
    </row>
    <row r="4626" spans="1:2" x14ac:dyDescent="0.2">
      <c r="A4626" t="str">
        <f>"DPPA2"</f>
        <v>DPPA2</v>
      </c>
      <c r="B4626" t="s">
        <v>2</v>
      </c>
    </row>
    <row r="4627" spans="1:2" x14ac:dyDescent="0.2">
      <c r="A4627" t="str">
        <f>"DPPA3"</f>
        <v>DPPA3</v>
      </c>
      <c r="B4627" t="s">
        <v>4</v>
      </c>
    </row>
    <row r="4628" spans="1:2" x14ac:dyDescent="0.2">
      <c r="A4628" t="str">
        <f>"DPPA4"</f>
        <v>DPPA4</v>
      </c>
      <c r="B4628" t="s">
        <v>4</v>
      </c>
    </row>
    <row r="4629" spans="1:2" x14ac:dyDescent="0.2">
      <c r="A4629" t="str">
        <f>"DPPA5"</f>
        <v>DPPA5</v>
      </c>
      <c r="B4629" t="s">
        <v>8</v>
      </c>
    </row>
    <row r="4630" spans="1:2" x14ac:dyDescent="0.2">
      <c r="A4630" t="str">
        <f>"DPRX"</f>
        <v>DPRX</v>
      </c>
      <c r="B4630" t="s">
        <v>8</v>
      </c>
    </row>
    <row r="4631" spans="1:2" x14ac:dyDescent="0.2">
      <c r="A4631" t="str">
        <f>"DPT"</f>
        <v>DPT</v>
      </c>
      <c r="B4631" t="s">
        <v>2</v>
      </c>
    </row>
    <row r="4632" spans="1:2" x14ac:dyDescent="0.2">
      <c r="A4632" t="str">
        <f>"DPY19L1"</f>
        <v>DPY19L1</v>
      </c>
      <c r="B4632" t="s">
        <v>5</v>
      </c>
    </row>
    <row r="4633" spans="1:2" x14ac:dyDescent="0.2">
      <c r="A4633" t="str">
        <f>"DPY19L2"</f>
        <v>DPY19L2</v>
      </c>
      <c r="B4633" t="s">
        <v>5</v>
      </c>
    </row>
    <row r="4634" spans="1:2" x14ac:dyDescent="0.2">
      <c r="A4634" t="str">
        <f>"DPY19L3"</f>
        <v>DPY19L3</v>
      </c>
      <c r="B4634" t="s">
        <v>5</v>
      </c>
    </row>
    <row r="4635" spans="1:2" x14ac:dyDescent="0.2">
      <c r="A4635" t="str">
        <f>"DPY19L4"</f>
        <v>DPY19L4</v>
      </c>
      <c r="B4635" t="s">
        <v>5</v>
      </c>
    </row>
    <row r="4636" spans="1:2" x14ac:dyDescent="0.2">
      <c r="A4636" t="str">
        <f>"DPY30"</f>
        <v>DPY30</v>
      </c>
      <c r="B4636" t="s">
        <v>4</v>
      </c>
    </row>
    <row r="4637" spans="1:2" x14ac:dyDescent="0.2">
      <c r="A4637" t="str">
        <f>"DPYD"</f>
        <v>DPYD</v>
      </c>
      <c r="B4637" t="s">
        <v>3</v>
      </c>
    </row>
    <row r="4638" spans="1:2" x14ac:dyDescent="0.2">
      <c r="A4638" t="str">
        <f>"DPYS"</f>
        <v>DPYS</v>
      </c>
      <c r="B4638" t="s">
        <v>2</v>
      </c>
    </row>
    <row r="4639" spans="1:2" x14ac:dyDescent="0.2">
      <c r="A4639" t="str">
        <f>"DPYSL2"</f>
        <v>DPYSL2</v>
      </c>
      <c r="B4639" t="s">
        <v>6</v>
      </c>
    </row>
    <row r="4640" spans="1:2" x14ac:dyDescent="0.2">
      <c r="A4640" t="str">
        <f>"DPYSL3"</f>
        <v>DPYSL3</v>
      </c>
      <c r="B4640" t="s">
        <v>2</v>
      </c>
    </row>
    <row r="4641" spans="1:2" x14ac:dyDescent="0.2">
      <c r="A4641" t="str">
        <f>"DPYSL4"</f>
        <v>DPYSL4</v>
      </c>
      <c r="B4641" t="s">
        <v>3</v>
      </c>
    </row>
    <row r="4642" spans="1:2" x14ac:dyDescent="0.2">
      <c r="A4642" t="str">
        <f>"DPYSL5"</f>
        <v>DPYSL5</v>
      </c>
      <c r="B4642" t="s">
        <v>4</v>
      </c>
    </row>
    <row r="4643" spans="1:2" x14ac:dyDescent="0.2">
      <c r="A4643" t="str">
        <f>"DQX1"</f>
        <v>DQX1</v>
      </c>
      <c r="B4643" t="s">
        <v>6</v>
      </c>
    </row>
    <row r="4644" spans="1:2" x14ac:dyDescent="0.2">
      <c r="A4644" t="str">
        <f>"DR1"</f>
        <v>DR1</v>
      </c>
      <c r="B4644" t="s">
        <v>2</v>
      </c>
    </row>
    <row r="4645" spans="1:2" x14ac:dyDescent="0.2">
      <c r="A4645" t="str">
        <f>"DRAM1"</f>
        <v>DRAM1</v>
      </c>
      <c r="B4645" t="s">
        <v>2</v>
      </c>
    </row>
    <row r="4646" spans="1:2" x14ac:dyDescent="0.2">
      <c r="A4646" t="str">
        <f>"DRAM2"</f>
        <v>DRAM2</v>
      </c>
      <c r="B4646" t="s">
        <v>5</v>
      </c>
    </row>
    <row r="4647" spans="1:2" x14ac:dyDescent="0.2">
      <c r="A4647" t="str">
        <f>"DRAP1"</f>
        <v>DRAP1</v>
      </c>
      <c r="B4647" t="s">
        <v>8</v>
      </c>
    </row>
    <row r="4648" spans="1:2" x14ac:dyDescent="0.2">
      <c r="A4648" t="str">
        <f>"DRAXIN"</f>
        <v>DRAXIN</v>
      </c>
      <c r="B4648" t="s">
        <v>4</v>
      </c>
    </row>
    <row r="4649" spans="1:2" x14ac:dyDescent="0.2">
      <c r="A4649" t="str">
        <f>"DRC1"</f>
        <v>DRC1</v>
      </c>
      <c r="B4649" t="s">
        <v>4</v>
      </c>
    </row>
    <row r="4650" spans="1:2" x14ac:dyDescent="0.2">
      <c r="A4650" t="str">
        <f>"DRD1"</f>
        <v>DRD1</v>
      </c>
      <c r="B4650" t="s">
        <v>7</v>
      </c>
    </row>
    <row r="4651" spans="1:2" x14ac:dyDescent="0.2">
      <c r="A4651" t="str">
        <f>"DRD2"</f>
        <v>DRD2</v>
      </c>
      <c r="B4651" t="s">
        <v>7</v>
      </c>
    </row>
    <row r="4652" spans="1:2" x14ac:dyDescent="0.2">
      <c r="A4652" t="str">
        <f>"DRD3"</f>
        <v>DRD3</v>
      </c>
      <c r="B4652" t="s">
        <v>7</v>
      </c>
    </row>
    <row r="4653" spans="1:2" x14ac:dyDescent="0.2">
      <c r="A4653" t="str">
        <f>"DRD4"</f>
        <v>DRD4</v>
      </c>
      <c r="B4653" t="s">
        <v>7</v>
      </c>
    </row>
    <row r="4654" spans="1:2" x14ac:dyDescent="0.2">
      <c r="A4654" t="str">
        <f>"DRD5"</f>
        <v>DRD5</v>
      </c>
      <c r="B4654" t="s">
        <v>7</v>
      </c>
    </row>
    <row r="4655" spans="1:2" x14ac:dyDescent="0.2">
      <c r="A4655" t="str">
        <f>"DRG1"</f>
        <v>DRG1</v>
      </c>
      <c r="B4655" t="s">
        <v>2</v>
      </c>
    </row>
    <row r="4656" spans="1:2" x14ac:dyDescent="0.2">
      <c r="A4656" t="str">
        <f>"DRG2"</f>
        <v>DRG2</v>
      </c>
      <c r="B4656" t="s">
        <v>2</v>
      </c>
    </row>
    <row r="4657" spans="1:2" x14ac:dyDescent="0.2">
      <c r="A4657" t="str">
        <f>"DRGX"</f>
        <v>DRGX</v>
      </c>
      <c r="B4657" t="s">
        <v>8</v>
      </c>
    </row>
    <row r="4658" spans="1:2" x14ac:dyDescent="0.2">
      <c r="A4658" t="str">
        <f>"DROSHA"</f>
        <v>DROSHA</v>
      </c>
      <c r="B4658" t="s">
        <v>8</v>
      </c>
    </row>
    <row r="4659" spans="1:2" x14ac:dyDescent="0.2">
      <c r="A4659" t="str">
        <f>"DRP2"</f>
        <v>DRP2</v>
      </c>
      <c r="B4659" t="s">
        <v>6</v>
      </c>
    </row>
    <row r="4660" spans="1:2" x14ac:dyDescent="0.2">
      <c r="A4660" t="str">
        <f>"DSC1"</f>
        <v>DSC1</v>
      </c>
      <c r="B4660" t="s">
        <v>5</v>
      </c>
    </row>
    <row r="4661" spans="1:2" x14ac:dyDescent="0.2">
      <c r="A4661" t="str">
        <f>"DSC2"</f>
        <v>DSC2</v>
      </c>
      <c r="B4661" t="s">
        <v>5</v>
      </c>
    </row>
    <row r="4662" spans="1:2" x14ac:dyDescent="0.2">
      <c r="A4662" t="str">
        <f>"DSC3"</f>
        <v>DSC3</v>
      </c>
      <c r="B4662" t="s">
        <v>6</v>
      </c>
    </row>
    <row r="4663" spans="1:2" x14ac:dyDescent="0.2">
      <c r="A4663" t="str">
        <f>"DSCAM"</f>
        <v>DSCAM</v>
      </c>
      <c r="B4663" t="s">
        <v>8</v>
      </c>
    </row>
    <row r="4664" spans="1:2" x14ac:dyDescent="0.2">
      <c r="A4664" t="str">
        <f>"DSCAML1"</f>
        <v>DSCAML1</v>
      </c>
      <c r="B4664" t="s">
        <v>3</v>
      </c>
    </row>
    <row r="4665" spans="1:2" x14ac:dyDescent="0.2">
      <c r="A4665" t="str">
        <f>"DSCC1"</f>
        <v>DSCC1</v>
      </c>
      <c r="B4665" t="s">
        <v>4</v>
      </c>
    </row>
    <row r="4666" spans="1:2" x14ac:dyDescent="0.2">
      <c r="A4666" t="str">
        <f>"DSCR3"</f>
        <v>DSCR3</v>
      </c>
      <c r="B4666" t="s">
        <v>2</v>
      </c>
    </row>
    <row r="4667" spans="1:2" x14ac:dyDescent="0.2">
      <c r="A4667" t="str">
        <f>"DSCR4"</f>
        <v>DSCR4</v>
      </c>
      <c r="B4667" t="s">
        <v>4</v>
      </c>
    </row>
    <row r="4668" spans="1:2" x14ac:dyDescent="0.2">
      <c r="A4668" t="str">
        <f>"DSE"</f>
        <v>DSE</v>
      </c>
      <c r="B4668" t="s">
        <v>2</v>
      </c>
    </row>
    <row r="4669" spans="1:2" x14ac:dyDescent="0.2">
      <c r="A4669" t="str">
        <f>"DSEL"</f>
        <v>DSEL</v>
      </c>
      <c r="B4669" t="s">
        <v>5</v>
      </c>
    </row>
    <row r="4670" spans="1:2" x14ac:dyDescent="0.2">
      <c r="A4670" t="str">
        <f>"DSG1"</f>
        <v>DSG1</v>
      </c>
      <c r="B4670" t="s">
        <v>5</v>
      </c>
    </row>
    <row r="4671" spans="1:2" x14ac:dyDescent="0.2">
      <c r="A4671" t="str">
        <f>"DSG2"</f>
        <v>DSG2</v>
      </c>
      <c r="B4671" t="s">
        <v>5</v>
      </c>
    </row>
    <row r="4672" spans="1:2" x14ac:dyDescent="0.2">
      <c r="A4672" t="str">
        <f>"DSG3"</f>
        <v>DSG3</v>
      </c>
      <c r="B4672" t="s">
        <v>5</v>
      </c>
    </row>
    <row r="4673" spans="1:2" x14ac:dyDescent="0.2">
      <c r="A4673" t="str">
        <f>"DSG4"</f>
        <v>DSG4</v>
      </c>
      <c r="B4673" t="s">
        <v>6</v>
      </c>
    </row>
    <row r="4674" spans="1:2" x14ac:dyDescent="0.2">
      <c r="A4674" t="str">
        <f>"DSN1"</f>
        <v>DSN1</v>
      </c>
      <c r="B4674" t="s">
        <v>3</v>
      </c>
    </row>
    <row r="4675" spans="1:2" x14ac:dyDescent="0.2">
      <c r="A4675" t="str">
        <f>"DSP"</f>
        <v>DSP</v>
      </c>
      <c r="B4675" t="s">
        <v>6</v>
      </c>
    </row>
    <row r="4676" spans="1:2" x14ac:dyDescent="0.2">
      <c r="A4676" t="str">
        <f>"DSPP"</f>
        <v>DSPP</v>
      </c>
      <c r="B4676" t="s">
        <v>4</v>
      </c>
    </row>
    <row r="4677" spans="1:2" x14ac:dyDescent="0.2">
      <c r="A4677" t="str">
        <f>"DST"</f>
        <v>DST</v>
      </c>
      <c r="B4677" t="s">
        <v>3</v>
      </c>
    </row>
    <row r="4678" spans="1:2" x14ac:dyDescent="0.2">
      <c r="A4678" t="str">
        <f>"DSTN"</f>
        <v>DSTN</v>
      </c>
      <c r="B4678" t="s">
        <v>7</v>
      </c>
    </row>
    <row r="4679" spans="1:2" x14ac:dyDescent="0.2">
      <c r="A4679" t="str">
        <f>"DSTYK"</f>
        <v>DSTYK</v>
      </c>
      <c r="B4679" t="s">
        <v>7</v>
      </c>
    </row>
    <row r="4680" spans="1:2" x14ac:dyDescent="0.2">
      <c r="A4680" t="str">
        <f>"DTD1"</f>
        <v>DTD1</v>
      </c>
      <c r="B4680" t="s">
        <v>8</v>
      </c>
    </row>
    <row r="4681" spans="1:2" x14ac:dyDescent="0.2">
      <c r="A4681" t="str">
        <f>"DTD2"</f>
        <v>DTD2</v>
      </c>
      <c r="B4681" t="s">
        <v>4</v>
      </c>
    </row>
    <row r="4682" spans="1:2" x14ac:dyDescent="0.2">
      <c r="A4682" t="str">
        <f>"DTHD1"</f>
        <v>DTHD1</v>
      </c>
      <c r="B4682" t="s">
        <v>4</v>
      </c>
    </row>
    <row r="4683" spans="1:2" x14ac:dyDescent="0.2">
      <c r="A4683" t="str">
        <f>"DTL"</f>
        <v>DTL</v>
      </c>
      <c r="B4683" t="s">
        <v>3</v>
      </c>
    </row>
    <row r="4684" spans="1:2" x14ac:dyDescent="0.2">
      <c r="A4684" t="str">
        <f>"DTNA"</f>
        <v>DTNA</v>
      </c>
      <c r="B4684" t="s">
        <v>4</v>
      </c>
    </row>
    <row r="4685" spans="1:2" x14ac:dyDescent="0.2">
      <c r="A4685" t="str">
        <f>"DTNB"</f>
        <v>DTNB</v>
      </c>
      <c r="B4685" t="s">
        <v>6</v>
      </c>
    </row>
    <row r="4686" spans="1:2" x14ac:dyDescent="0.2">
      <c r="A4686" t="str">
        <f>"DTNBP1"</f>
        <v>DTNBP1</v>
      </c>
      <c r="B4686" t="s">
        <v>4</v>
      </c>
    </row>
    <row r="4687" spans="1:2" x14ac:dyDescent="0.2">
      <c r="A4687" t="str">
        <f>"DTWD1"</f>
        <v>DTWD1</v>
      </c>
      <c r="B4687" t="s">
        <v>4</v>
      </c>
    </row>
    <row r="4688" spans="1:2" x14ac:dyDescent="0.2">
      <c r="A4688" t="str">
        <f>"DTWD2"</f>
        <v>DTWD2</v>
      </c>
      <c r="B4688" t="s">
        <v>4</v>
      </c>
    </row>
    <row r="4689" spans="1:2" x14ac:dyDescent="0.2">
      <c r="A4689" t="str">
        <f>"DTX1"</f>
        <v>DTX1</v>
      </c>
      <c r="B4689" t="s">
        <v>3</v>
      </c>
    </row>
    <row r="4690" spans="1:2" x14ac:dyDescent="0.2">
      <c r="A4690" t="str">
        <f>"DTX2"</f>
        <v>DTX2</v>
      </c>
      <c r="B4690" t="s">
        <v>2</v>
      </c>
    </row>
    <row r="4691" spans="1:2" x14ac:dyDescent="0.2">
      <c r="A4691" t="str">
        <f>"DTX3"</f>
        <v>DTX3</v>
      </c>
      <c r="B4691" t="s">
        <v>2</v>
      </c>
    </row>
    <row r="4692" spans="1:2" x14ac:dyDescent="0.2">
      <c r="A4692" t="str">
        <f>"DTX3L"</f>
        <v>DTX3L</v>
      </c>
      <c r="B4692" t="s">
        <v>3</v>
      </c>
    </row>
    <row r="4693" spans="1:2" x14ac:dyDescent="0.2">
      <c r="A4693" t="str">
        <f>"DTX4"</f>
        <v>DTX4</v>
      </c>
      <c r="B4693" t="s">
        <v>3</v>
      </c>
    </row>
    <row r="4694" spans="1:2" x14ac:dyDescent="0.2">
      <c r="A4694" t="str">
        <f>"DTYMK"</f>
        <v>DTYMK</v>
      </c>
      <c r="B4694" t="s">
        <v>7</v>
      </c>
    </row>
    <row r="4695" spans="1:2" x14ac:dyDescent="0.2">
      <c r="A4695" t="str">
        <f>"DUOX1"</f>
        <v>DUOX1</v>
      </c>
      <c r="B4695" t="s">
        <v>5</v>
      </c>
    </row>
    <row r="4696" spans="1:2" x14ac:dyDescent="0.2">
      <c r="A4696" t="str">
        <f>"DUOX2"</f>
        <v>DUOX2</v>
      </c>
      <c r="B4696" t="s">
        <v>2</v>
      </c>
    </row>
    <row r="4697" spans="1:2" x14ac:dyDescent="0.2">
      <c r="A4697" t="str">
        <f>"DUOXA1"</f>
        <v>DUOXA1</v>
      </c>
      <c r="B4697" t="s">
        <v>5</v>
      </c>
    </row>
    <row r="4698" spans="1:2" x14ac:dyDescent="0.2">
      <c r="A4698" t="str">
        <f>"DUOXA2"</f>
        <v>DUOXA2</v>
      </c>
      <c r="B4698" t="s">
        <v>4</v>
      </c>
    </row>
    <row r="4699" spans="1:2" x14ac:dyDescent="0.2">
      <c r="A4699" t="str">
        <f>"DUPD1"</f>
        <v>DUPD1</v>
      </c>
      <c r="B4699" t="s">
        <v>8</v>
      </c>
    </row>
    <row r="4700" spans="1:2" x14ac:dyDescent="0.2">
      <c r="A4700" t="str">
        <f>"DUS1L"</f>
        <v>DUS1L</v>
      </c>
      <c r="B4700" t="s">
        <v>6</v>
      </c>
    </row>
    <row r="4701" spans="1:2" x14ac:dyDescent="0.2">
      <c r="A4701" t="str">
        <f>"DUS2"</f>
        <v>DUS2</v>
      </c>
      <c r="B4701" t="s">
        <v>6</v>
      </c>
    </row>
    <row r="4702" spans="1:2" x14ac:dyDescent="0.2">
      <c r="A4702" t="str">
        <f>"DUS3L"</f>
        <v>DUS3L</v>
      </c>
      <c r="B4702" t="s">
        <v>2</v>
      </c>
    </row>
    <row r="4703" spans="1:2" x14ac:dyDescent="0.2">
      <c r="A4703" t="str">
        <f>"DUS4L"</f>
        <v>DUS4L</v>
      </c>
      <c r="B4703" t="s">
        <v>4</v>
      </c>
    </row>
    <row r="4704" spans="1:2" x14ac:dyDescent="0.2">
      <c r="A4704" t="str">
        <f>"DUSP1"</f>
        <v>DUSP1</v>
      </c>
      <c r="B4704" t="s">
        <v>3</v>
      </c>
    </row>
    <row r="4705" spans="1:2" x14ac:dyDescent="0.2">
      <c r="A4705" t="str">
        <f>"DUSP10"</f>
        <v>DUSP10</v>
      </c>
      <c r="B4705" t="s">
        <v>7</v>
      </c>
    </row>
    <row r="4706" spans="1:2" x14ac:dyDescent="0.2">
      <c r="A4706" t="str">
        <f>"DUSP11"</f>
        <v>DUSP11</v>
      </c>
      <c r="B4706" t="s">
        <v>7</v>
      </c>
    </row>
    <row r="4707" spans="1:2" x14ac:dyDescent="0.2">
      <c r="A4707" t="str">
        <f>"DUSP12"</f>
        <v>DUSP12</v>
      </c>
      <c r="B4707" t="s">
        <v>7</v>
      </c>
    </row>
    <row r="4708" spans="1:2" x14ac:dyDescent="0.2">
      <c r="A4708" t="str">
        <f>"DUSP13"</f>
        <v>DUSP13</v>
      </c>
      <c r="B4708" t="s">
        <v>7</v>
      </c>
    </row>
    <row r="4709" spans="1:2" x14ac:dyDescent="0.2">
      <c r="A4709" t="str">
        <f>"DUSP14"</f>
        <v>DUSP14</v>
      </c>
      <c r="B4709" t="s">
        <v>7</v>
      </c>
    </row>
    <row r="4710" spans="1:2" x14ac:dyDescent="0.2">
      <c r="A4710" t="str">
        <f>"DUSP15"</f>
        <v>DUSP15</v>
      </c>
      <c r="B4710" t="s">
        <v>7</v>
      </c>
    </row>
    <row r="4711" spans="1:2" x14ac:dyDescent="0.2">
      <c r="A4711" t="str">
        <f>"DUSP16"</f>
        <v>DUSP16</v>
      </c>
      <c r="B4711" t="s">
        <v>7</v>
      </c>
    </row>
    <row r="4712" spans="1:2" x14ac:dyDescent="0.2">
      <c r="A4712" t="str">
        <f>"DUSP18"</f>
        <v>DUSP18</v>
      </c>
      <c r="B4712" t="s">
        <v>7</v>
      </c>
    </row>
    <row r="4713" spans="1:2" x14ac:dyDescent="0.2">
      <c r="A4713" t="str">
        <f>"DUSP19"</f>
        <v>DUSP19</v>
      </c>
      <c r="B4713" t="s">
        <v>7</v>
      </c>
    </row>
    <row r="4714" spans="1:2" x14ac:dyDescent="0.2">
      <c r="A4714" t="str">
        <f>"DUSP2"</f>
        <v>DUSP2</v>
      </c>
      <c r="B4714" t="s">
        <v>7</v>
      </c>
    </row>
    <row r="4715" spans="1:2" x14ac:dyDescent="0.2">
      <c r="A4715" t="str">
        <f>"DUSP21"</f>
        <v>DUSP21</v>
      </c>
      <c r="B4715" t="s">
        <v>7</v>
      </c>
    </row>
    <row r="4716" spans="1:2" x14ac:dyDescent="0.2">
      <c r="A4716" t="str">
        <f>"DUSP22"</f>
        <v>DUSP22</v>
      </c>
      <c r="B4716" t="s">
        <v>7</v>
      </c>
    </row>
    <row r="4717" spans="1:2" x14ac:dyDescent="0.2">
      <c r="A4717" t="str">
        <f>"DUSP23"</f>
        <v>DUSP23</v>
      </c>
      <c r="B4717" t="s">
        <v>7</v>
      </c>
    </row>
    <row r="4718" spans="1:2" x14ac:dyDescent="0.2">
      <c r="A4718" t="str">
        <f>"DUSP26"</f>
        <v>DUSP26</v>
      </c>
      <c r="B4718" t="s">
        <v>3</v>
      </c>
    </row>
    <row r="4719" spans="1:2" x14ac:dyDescent="0.2">
      <c r="A4719" t="str">
        <f>"DUSP27"</f>
        <v>DUSP27</v>
      </c>
      <c r="B4719" t="s">
        <v>7</v>
      </c>
    </row>
    <row r="4720" spans="1:2" x14ac:dyDescent="0.2">
      <c r="A4720" t="str">
        <f>"DUSP28"</f>
        <v>DUSP28</v>
      </c>
      <c r="B4720" t="s">
        <v>8</v>
      </c>
    </row>
    <row r="4721" spans="1:2" x14ac:dyDescent="0.2">
      <c r="A4721" t="str">
        <f>"DUSP3"</f>
        <v>DUSP3</v>
      </c>
      <c r="B4721" t="s">
        <v>7</v>
      </c>
    </row>
    <row r="4722" spans="1:2" x14ac:dyDescent="0.2">
      <c r="A4722" t="str">
        <f>"DUSP4"</f>
        <v>DUSP4</v>
      </c>
      <c r="B4722" t="s">
        <v>3</v>
      </c>
    </row>
    <row r="4723" spans="1:2" x14ac:dyDescent="0.2">
      <c r="A4723" t="str">
        <f>"DUSP5"</f>
        <v>DUSP5</v>
      </c>
      <c r="B4723" t="s">
        <v>8</v>
      </c>
    </row>
    <row r="4724" spans="1:2" x14ac:dyDescent="0.2">
      <c r="A4724" t="str">
        <f>"DUSP6"</f>
        <v>DUSP6</v>
      </c>
      <c r="B4724" t="s">
        <v>7</v>
      </c>
    </row>
    <row r="4725" spans="1:2" x14ac:dyDescent="0.2">
      <c r="A4725" t="str">
        <f>"DUSP7"</f>
        <v>DUSP7</v>
      </c>
      <c r="B4725" t="s">
        <v>7</v>
      </c>
    </row>
    <row r="4726" spans="1:2" x14ac:dyDescent="0.2">
      <c r="A4726" t="str">
        <f>"DUSP8"</f>
        <v>DUSP8</v>
      </c>
      <c r="B4726" t="s">
        <v>7</v>
      </c>
    </row>
    <row r="4727" spans="1:2" x14ac:dyDescent="0.2">
      <c r="A4727" t="str">
        <f>"DUSP9"</f>
        <v>DUSP9</v>
      </c>
      <c r="B4727" t="s">
        <v>3</v>
      </c>
    </row>
    <row r="4728" spans="1:2" x14ac:dyDescent="0.2">
      <c r="A4728" t="str">
        <f>"DUT"</f>
        <v>DUT</v>
      </c>
      <c r="B4728" t="s">
        <v>7</v>
      </c>
    </row>
    <row r="4729" spans="1:2" x14ac:dyDescent="0.2">
      <c r="A4729" t="str">
        <f>"DUXA"</f>
        <v>DUXA</v>
      </c>
      <c r="B4729" t="s">
        <v>8</v>
      </c>
    </row>
    <row r="4730" spans="1:2" x14ac:dyDescent="0.2">
      <c r="A4730" t="str">
        <f>"DVL1"</f>
        <v>DVL1</v>
      </c>
      <c r="B4730" t="s">
        <v>2</v>
      </c>
    </row>
    <row r="4731" spans="1:2" x14ac:dyDescent="0.2">
      <c r="A4731" t="str">
        <f>"DVL2"</f>
        <v>DVL2</v>
      </c>
      <c r="B4731" t="s">
        <v>8</v>
      </c>
    </row>
    <row r="4732" spans="1:2" x14ac:dyDescent="0.2">
      <c r="A4732" t="str">
        <f>"DVL3"</f>
        <v>DVL3</v>
      </c>
      <c r="B4732" t="s">
        <v>8</v>
      </c>
    </row>
    <row r="4733" spans="1:2" x14ac:dyDescent="0.2">
      <c r="A4733" t="str">
        <f>"DXO"</f>
        <v>DXO</v>
      </c>
      <c r="B4733" t="s">
        <v>8</v>
      </c>
    </row>
    <row r="4734" spans="1:2" x14ac:dyDescent="0.2">
      <c r="A4734" t="str">
        <f>"DYDC1"</f>
        <v>DYDC1</v>
      </c>
      <c r="B4734" t="s">
        <v>4</v>
      </c>
    </row>
    <row r="4735" spans="1:2" x14ac:dyDescent="0.2">
      <c r="A4735" t="str">
        <f>"DYDC2"</f>
        <v>DYDC2</v>
      </c>
      <c r="B4735" t="s">
        <v>4</v>
      </c>
    </row>
    <row r="4736" spans="1:2" x14ac:dyDescent="0.2">
      <c r="A4736" t="str">
        <f>"DYM"</f>
        <v>DYM</v>
      </c>
      <c r="B4736" t="s">
        <v>2</v>
      </c>
    </row>
    <row r="4737" spans="1:2" x14ac:dyDescent="0.2">
      <c r="A4737" t="str">
        <f>"DYNAP"</f>
        <v>DYNAP</v>
      </c>
      <c r="B4737" t="s">
        <v>5</v>
      </c>
    </row>
    <row r="4738" spans="1:2" x14ac:dyDescent="0.2">
      <c r="A4738" t="str">
        <f>"DYNC1H1"</f>
        <v>DYNC1H1</v>
      </c>
      <c r="B4738" t="s">
        <v>3</v>
      </c>
    </row>
    <row r="4739" spans="1:2" x14ac:dyDescent="0.2">
      <c r="A4739" t="str">
        <f>"DYNC1I1"</f>
        <v>DYNC1I1</v>
      </c>
      <c r="B4739" t="s">
        <v>2</v>
      </c>
    </row>
    <row r="4740" spans="1:2" x14ac:dyDescent="0.2">
      <c r="A4740" t="str">
        <f>"DYNC1I2"</f>
        <v>DYNC1I2</v>
      </c>
      <c r="B4740" t="s">
        <v>6</v>
      </c>
    </row>
    <row r="4741" spans="1:2" x14ac:dyDescent="0.2">
      <c r="A4741" t="str">
        <f>"DYNC1LI1"</f>
        <v>DYNC1LI1</v>
      </c>
      <c r="B4741" t="s">
        <v>3</v>
      </c>
    </row>
    <row r="4742" spans="1:2" x14ac:dyDescent="0.2">
      <c r="A4742" t="str">
        <f>"DYNC1LI2"</f>
        <v>DYNC1LI2</v>
      </c>
      <c r="B4742" t="s">
        <v>2</v>
      </c>
    </row>
    <row r="4743" spans="1:2" x14ac:dyDescent="0.2">
      <c r="A4743" t="str">
        <f>"DYNC2H1"</f>
        <v>DYNC2H1</v>
      </c>
      <c r="B4743" t="s">
        <v>6</v>
      </c>
    </row>
    <row r="4744" spans="1:2" x14ac:dyDescent="0.2">
      <c r="A4744" t="str">
        <f>"DYNC2LI1"</f>
        <v>DYNC2LI1</v>
      </c>
      <c r="B4744" t="s">
        <v>4</v>
      </c>
    </row>
    <row r="4745" spans="1:2" x14ac:dyDescent="0.2">
      <c r="A4745" t="str">
        <f>"DYNLL1"</f>
        <v>DYNLL1</v>
      </c>
      <c r="B4745" t="s">
        <v>3</v>
      </c>
    </row>
    <row r="4746" spans="1:2" x14ac:dyDescent="0.2">
      <c r="A4746" t="str">
        <f>"DYNLL2"</f>
        <v>DYNLL2</v>
      </c>
      <c r="B4746" t="s">
        <v>2</v>
      </c>
    </row>
    <row r="4747" spans="1:2" x14ac:dyDescent="0.2">
      <c r="A4747" t="str">
        <f>"DYNLRB1"</f>
        <v>DYNLRB1</v>
      </c>
      <c r="B4747" t="s">
        <v>6</v>
      </c>
    </row>
    <row r="4748" spans="1:2" x14ac:dyDescent="0.2">
      <c r="A4748" t="str">
        <f>"DYNLRB2"</f>
        <v>DYNLRB2</v>
      </c>
      <c r="B4748" t="s">
        <v>6</v>
      </c>
    </row>
    <row r="4749" spans="1:2" x14ac:dyDescent="0.2">
      <c r="A4749" t="str">
        <f>"DYNLT1"</f>
        <v>DYNLT1</v>
      </c>
      <c r="B4749" t="s">
        <v>6</v>
      </c>
    </row>
    <row r="4750" spans="1:2" x14ac:dyDescent="0.2">
      <c r="A4750" t="str">
        <f>"DYNLT3"</f>
        <v>DYNLT3</v>
      </c>
      <c r="B4750" t="s">
        <v>6</v>
      </c>
    </row>
    <row r="4751" spans="1:2" x14ac:dyDescent="0.2">
      <c r="A4751" t="str">
        <f>"DYRK1A"</f>
        <v>DYRK1A</v>
      </c>
      <c r="B4751" t="s">
        <v>7</v>
      </c>
    </row>
    <row r="4752" spans="1:2" x14ac:dyDescent="0.2">
      <c r="A4752" t="str">
        <f>"DYRK1B"</f>
        <v>DYRK1B</v>
      </c>
      <c r="B4752" t="s">
        <v>7</v>
      </c>
    </row>
    <row r="4753" spans="1:2" x14ac:dyDescent="0.2">
      <c r="A4753" t="str">
        <f>"DYRK2"</f>
        <v>DYRK2</v>
      </c>
      <c r="B4753" t="s">
        <v>7</v>
      </c>
    </row>
    <row r="4754" spans="1:2" x14ac:dyDescent="0.2">
      <c r="A4754" t="str">
        <f>"DYRK3"</f>
        <v>DYRK3</v>
      </c>
      <c r="B4754" t="s">
        <v>7</v>
      </c>
    </row>
    <row r="4755" spans="1:2" x14ac:dyDescent="0.2">
      <c r="A4755" t="str">
        <f>"DYRK4"</f>
        <v>DYRK4</v>
      </c>
      <c r="B4755" t="s">
        <v>7</v>
      </c>
    </row>
    <row r="4756" spans="1:2" x14ac:dyDescent="0.2">
      <c r="A4756" t="str">
        <f>"DYSF"</f>
        <v>DYSF</v>
      </c>
      <c r="B4756" t="s">
        <v>5</v>
      </c>
    </row>
    <row r="4757" spans="1:2" x14ac:dyDescent="0.2">
      <c r="A4757" t="str">
        <f>"DYTN"</f>
        <v>DYTN</v>
      </c>
      <c r="B4757" t="s">
        <v>4</v>
      </c>
    </row>
    <row r="4758" spans="1:2" x14ac:dyDescent="0.2">
      <c r="A4758" t="str">
        <f>"DYX1C1"</f>
        <v>DYX1C1</v>
      </c>
      <c r="B4758" t="s">
        <v>2</v>
      </c>
    </row>
    <row r="4759" spans="1:2" x14ac:dyDescent="0.2">
      <c r="A4759" t="str">
        <f>"DZANK1"</f>
        <v>DZANK1</v>
      </c>
      <c r="B4759" t="s">
        <v>3</v>
      </c>
    </row>
    <row r="4760" spans="1:2" x14ac:dyDescent="0.2">
      <c r="A4760" t="str">
        <f>"DZIP1"</f>
        <v>DZIP1</v>
      </c>
      <c r="B4760" t="s">
        <v>8</v>
      </c>
    </row>
    <row r="4761" spans="1:2" x14ac:dyDescent="0.2">
      <c r="A4761" t="str">
        <f>"DZIP1L"</f>
        <v>DZIP1L</v>
      </c>
      <c r="B4761" t="s">
        <v>8</v>
      </c>
    </row>
    <row r="4762" spans="1:2" x14ac:dyDescent="0.2">
      <c r="A4762" t="str">
        <f>"DZIP3"</f>
        <v>DZIP3</v>
      </c>
      <c r="B4762" t="s">
        <v>2</v>
      </c>
    </row>
    <row r="4763" spans="1:2" x14ac:dyDescent="0.2">
      <c r="A4763" t="str">
        <f>"E2F1"</f>
        <v>E2F1</v>
      </c>
      <c r="B4763" t="s">
        <v>3</v>
      </c>
    </row>
    <row r="4764" spans="1:2" x14ac:dyDescent="0.2">
      <c r="A4764" t="str">
        <f>"E2F2"</f>
        <v>E2F2</v>
      </c>
      <c r="B4764" t="s">
        <v>3</v>
      </c>
    </row>
    <row r="4765" spans="1:2" x14ac:dyDescent="0.2">
      <c r="A4765" t="str">
        <f>"E2F3"</f>
        <v>E2F3</v>
      </c>
      <c r="B4765" t="s">
        <v>3</v>
      </c>
    </row>
    <row r="4766" spans="1:2" x14ac:dyDescent="0.2">
      <c r="A4766" t="str">
        <f>"E2F4"</f>
        <v>E2F4</v>
      </c>
      <c r="B4766" t="s">
        <v>3</v>
      </c>
    </row>
    <row r="4767" spans="1:2" x14ac:dyDescent="0.2">
      <c r="A4767" t="str">
        <f>"E2F5"</f>
        <v>E2F5</v>
      </c>
      <c r="B4767" t="s">
        <v>3</v>
      </c>
    </row>
    <row r="4768" spans="1:2" x14ac:dyDescent="0.2">
      <c r="A4768" t="str">
        <f>"E2F6"</f>
        <v>E2F6</v>
      </c>
      <c r="B4768" t="s">
        <v>8</v>
      </c>
    </row>
    <row r="4769" spans="1:2" x14ac:dyDescent="0.2">
      <c r="A4769" t="str">
        <f>"E2F7"</f>
        <v>E2F7</v>
      </c>
      <c r="B4769" t="s">
        <v>3</v>
      </c>
    </row>
    <row r="4770" spans="1:2" x14ac:dyDescent="0.2">
      <c r="A4770" t="str">
        <f>"E2F8"</f>
        <v>E2F8</v>
      </c>
      <c r="B4770" t="s">
        <v>3</v>
      </c>
    </row>
    <row r="4771" spans="1:2" x14ac:dyDescent="0.2">
      <c r="A4771" t="str">
        <f>"E4F1"</f>
        <v>E4F1</v>
      </c>
      <c r="B4771" t="s">
        <v>3</v>
      </c>
    </row>
    <row r="4772" spans="1:2" x14ac:dyDescent="0.2">
      <c r="A4772" t="str">
        <f>"EAF1"</f>
        <v>EAF1</v>
      </c>
      <c r="B4772" t="s">
        <v>8</v>
      </c>
    </row>
    <row r="4773" spans="1:2" x14ac:dyDescent="0.2">
      <c r="A4773" t="str">
        <f>"EAF2"</f>
        <v>EAF2</v>
      </c>
      <c r="B4773" t="s">
        <v>2</v>
      </c>
    </row>
    <row r="4774" spans="1:2" x14ac:dyDescent="0.2">
      <c r="A4774" t="str">
        <f>"EAPP"</f>
        <v>EAPP</v>
      </c>
      <c r="B4774" t="s">
        <v>4</v>
      </c>
    </row>
    <row r="4775" spans="1:2" x14ac:dyDescent="0.2">
      <c r="A4775" t="str">
        <f>"EARS2"</f>
        <v>EARS2</v>
      </c>
      <c r="B4775" t="s">
        <v>7</v>
      </c>
    </row>
    <row r="4776" spans="1:2" x14ac:dyDescent="0.2">
      <c r="A4776" t="str">
        <f>"EBAG9"</f>
        <v>EBAG9</v>
      </c>
      <c r="B4776" t="s">
        <v>6</v>
      </c>
    </row>
    <row r="4777" spans="1:2" x14ac:dyDescent="0.2">
      <c r="A4777" t="str">
        <f>"EBF1"</f>
        <v>EBF1</v>
      </c>
      <c r="B4777" t="s">
        <v>8</v>
      </c>
    </row>
    <row r="4778" spans="1:2" x14ac:dyDescent="0.2">
      <c r="A4778" t="str">
        <f>"EBF2"</f>
        <v>EBF2</v>
      </c>
      <c r="B4778" t="s">
        <v>8</v>
      </c>
    </row>
    <row r="4779" spans="1:2" x14ac:dyDescent="0.2">
      <c r="A4779" t="str">
        <f>"EBF3"</f>
        <v>EBF3</v>
      </c>
      <c r="B4779" t="s">
        <v>8</v>
      </c>
    </row>
    <row r="4780" spans="1:2" x14ac:dyDescent="0.2">
      <c r="A4780" t="str">
        <f>"EBF4"</f>
        <v>EBF4</v>
      </c>
      <c r="B4780" t="s">
        <v>8</v>
      </c>
    </row>
    <row r="4781" spans="1:2" x14ac:dyDescent="0.2">
      <c r="A4781" t="str">
        <f>"EBI3"</f>
        <v>EBI3</v>
      </c>
      <c r="B4781" t="s">
        <v>4</v>
      </c>
    </row>
    <row r="4782" spans="1:2" x14ac:dyDescent="0.2">
      <c r="A4782" t="str">
        <f>"EBLN1"</f>
        <v>EBLN1</v>
      </c>
      <c r="B4782" t="s">
        <v>4</v>
      </c>
    </row>
    <row r="4783" spans="1:2" x14ac:dyDescent="0.2">
      <c r="A4783" t="str">
        <f>"EBLN2"</f>
        <v>EBLN2</v>
      </c>
      <c r="B4783" t="s">
        <v>4</v>
      </c>
    </row>
    <row r="4784" spans="1:2" x14ac:dyDescent="0.2">
      <c r="A4784" t="str">
        <f>"EBNA1BP2"</f>
        <v>EBNA1BP2</v>
      </c>
      <c r="B4784" t="s">
        <v>8</v>
      </c>
    </row>
    <row r="4785" spans="1:2" x14ac:dyDescent="0.2">
      <c r="A4785" t="str">
        <f>"EBP"</f>
        <v>EBP</v>
      </c>
      <c r="B4785" t="s">
        <v>2</v>
      </c>
    </row>
    <row r="4786" spans="1:2" x14ac:dyDescent="0.2">
      <c r="A4786" t="str">
        <f>"EBPL"</f>
        <v>EBPL</v>
      </c>
      <c r="B4786" t="s">
        <v>6</v>
      </c>
    </row>
    <row r="4787" spans="1:2" x14ac:dyDescent="0.2">
      <c r="A4787" t="str">
        <f>"ECD"</f>
        <v>ECD</v>
      </c>
      <c r="B4787" t="s">
        <v>8</v>
      </c>
    </row>
    <row r="4788" spans="1:2" x14ac:dyDescent="0.2">
      <c r="A4788" t="str">
        <f>"ECE1"</f>
        <v>ECE1</v>
      </c>
      <c r="B4788" t="s">
        <v>7</v>
      </c>
    </row>
    <row r="4789" spans="1:2" x14ac:dyDescent="0.2">
      <c r="A4789" t="str">
        <f>"ECE2"</f>
        <v>ECE2</v>
      </c>
      <c r="B4789" t="s">
        <v>2</v>
      </c>
    </row>
    <row r="4790" spans="1:2" x14ac:dyDescent="0.2">
      <c r="A4790" t="str">
        <f>"ECEL1"</f>
        <v>ECEL1</v>
      </c>
      <c r="B4790" t="s">
        <v>2</v>
      </c>
    </row>
    <row r="4791" spans="1:2" x14ac:dyDescent="0.2">
      <c r="A4791" t="str">
        <f>"ECH1"</f>
        <v>ECH1</v>
      </c>
      <c r="B4791" t="s">
        <v>2</v>
      </c>
    </row>
    <row r="4792" spans="1:2" x14ac:dyDescent="0.2">
      <c r="A4792" t="str">
        <f>"ECHDC1"</f>
        <v>ECHDC1</v>
      </c>
      <c r="B4792" t="s">
        <v>6</v>
      </c>
    </row>
    <row r="4793" spans="1:2" x14ac:dyDescent="0.2">
      <c r="A4793" t="str">
        <f>"ECHDC2"</f>
        <v>ECHDC2</v>
      </c>
      <c r="B4793" t="s">
        <v>6</v>
      </c>
    </row>
    <row r="4794" spans="1:2" x14ac:dyDescent="0.2">
      <c r="A4794" t="str">
        <f>"ECHDC3"</f>
        <v>ECHDC3</v>
      </c>
      <c r="B4794" t="s">
        <v>6</v>
      </c>
    </row>
    <row r="4795" spans="1:2" x14ac:dyDescent="0.2">
      <c r="A4795" t="str">
        <f>"ECHS1"</f>
        <v>ECHS1</v>
      </c>
      <c r="B4795" t="s">
        <v>3</v>
      </c>
    </row>
    <row r="4796" spans="1:2" x14ac:dyDescent="0.2">
      <c r="A4796" t="str">
        <f>"ECI1"</f>
        <v>ECI1</v>
      </c>
      <c r="B4796" t="s">
        <v>6</v>
      </c>
    </row>
    <row r="4797" spans="1:2" x14ac:dyDescent="0.2">
      <c r="A4797" t="str">
        <f>"ECI2"</f>
        <v>ECI2</v>
      </c>
      <c r="B4797" t="s">
        <v>2</v>
      </c>
    </row>
    <row r="4798" spans="1:2" x14ac:dyDescent="0.2">
      <c r="A4798" t="str">
        <f>"ECM1"</f>
        <v>ECM1</v>
      </c>
      <c r="B4798" t="s">
        <v>4</v>
      </c>
    </row>
    <row r="4799" spans="1:2" x14ac:dyDescent="0.2">
      <c r="A4799" t="str">
        <f>"ECM2"</f>
        <v>ECM2</v>
      </c>
      <c r="B4799" t="s">
        <v>3</v>
      </c>
    </row>
    <row r="4800" spans="1:2" x14ac:dyDescent="0.2">
      <c r="A4800" t="str">
        <f>"ECSCR"</f>
        <v>ECSCR</v>
      </c>
      <c r="B4800" t="s">
        <v>4</v>
      </c>
    </row>
    <row r="4801" spans="1:2" x14ac:dyDescent="0.2">
      <c r="A4801" t="str">
        <f>"ECSIT"</f>
        <v>ECSIT</v>
      </c>
      <c r="B4801" t="s">
        <v>6</v>
      </c>
    </row>
    <row r="4802" spans="1:2" x14ac:dyDescent="0.2">
      <c r="A4802" t="str">
        <f>"ECT2"</f>
        <v>ECT2</v>
      </c>
      <c r="B4802" t="s">
        <v>3</v>
      </c>
    </row>
    <row r="4803" spans="1:2" x14ac:dyDescent="0.2">
      <c r="A4803" t="str">
        <f>"ECT2L"</f>
        <v>ECT2L</v>
      </c>
      <c r="B4803" t="s">
        <v>2</v>
      </c>
    </row>
    <row r="4804" spans="1:2" x14ac:dyDescent="0.2">
      <c r="A4804" t="str">
        <f>"EDA"</f>
        <v>EDA</v>
      </c>
      <c r="B4804" t="s">
        <v>7</v>
      </c>
    </row>
    <row r="4805" spans="1:2" x14ac:dyDescent="0.2">
      <c r="A4805" t="str">
        <f>"EDA2R"</f>
        <v>EDA2R</v>
      </c>
      <c r="B4805" t="s">
        <v>3</v>
      </c>
    </row>
    <row r="4806" spans="1:2" x14ac:dyDescent="0.2">
      <c r="A4806" t="str">
        <f>"EDAR"</f>
        <v>EDAR</v>
      </c>
      <c r="B4806" t="s">
        <v>3</v>
      </c>
    </row>
    <row r="4807" spans="1:2" x14ac:dyDescent="0.2">
      <c r="A4807" t="str">
        <f>"EDARADD"</f>
        <v>EDARADD</v>
      </c>
      <c r="B4807" t="s">
        <v>4</v>
      </c>
    </row>
    <row r="4808" spans="1:2" x14ac:dyDescent="0.2">
      <c r="A4808" t="str">
        <f>"EDC3"</f>
        <v>EDC3</v>
      </c>
      <c r="B4808" t="s">
        <v>4</v>
      </c>
    </row>
    <row r="4809" spans="1:2" x14ac:dyDescent="0.2">
      <c r="A4809" t="str">
        <f>"EDC4"</f>
        <v>EDC4</v>
      </c>
      <c r="B4809" t="s">
        <v>2</v>
      </c>
    </row>
    <row r="4810" spans="1:2" x14ac:dyDescent="0.2">
      <c r="A4810" t="str">
        <f>"EDDM3A"</f>
        <v>EDDM3A</v>
      </c>
      <c r="B4810" t="s">
        <v>4</v>
      </c>
    </row>
    <row r="4811" spans="1:2" x14ac:dyDescent="0.2">
      <c r="A4811" t="str">
        <f>"EDDM3B"</f>
        <v>EDDM3B</v>
      </c>
      <c r="B4811" t="s">
        <v>3</v>
      </c>
    </row>
    <row r="4812" spans="1:2" x14ac:dyDescent="0.2">
      <c r="A4812" t="str">
        <f>"EDEM1"</f>
        <v>EDEM1</v>
      </c>
      <c r="B4812" t="s">
        <v>2</v>
      </c>
    </row>
    <row r="4813" spans="1:2" x14ac:dyDescent="0.2">
      <c r="A4813" t="str">
        <f>"EDEM2"</f>
        <v>EDEM2</v>
      </c>
      <c r="B4813" t="s">
        <v>2</v>
      </c>
    </row>
    <row r="4814" spans="1:2" x14ac:dyDescent="0.2">
      <c r="A4814" t="str">
        <f>"EDEM3"</f>
        <v>EDEM3</v>
      </c>
      <c r="B4814" t="s">
        <v>2</v>
      </c>
    </row>
    <row r="4815" spans="1:2" x14ac:dyDescent="0.2">
      <c r="A4815" t="str">
        <f>"EDF1"</f>
        <v>EDF1</v>
      </c>
      <c r="B4815" t="s">
        <v>6</v>
      </c>
    </row>
    <row r="4816" spans="1:2" x14ac:dyDescent="0.2">
      <c r="A4816" t="str">
        <f>"EDIL3"</f>
        <v>EDIL3</v>
      </c>
      <c r="B4816" t="s">
        <v>3</v>
      </c>
    </row>
    <row r="4817" spans="1:2" x14ac:dyDescent="0.2">
      <c r="A4817" t="str">
        <f>"EDN1"</f>
        <v>EDN1</v>
      </c>
      <c r="B4817" t="s">
        <v>3</v>
      </c>
    </row>
    <row r="4818" spans="1:2" x14ac:dyDescent="0.2">
      <c r="A4818" t="str">
        <f>"EDN2"</f>
        <v>EDN2</v>
      </c>
      <c r="B4818" t="s">
        <v>3</v>
      </c>
    </row>
    <row r="4819" spans="1:2" x14ac:dyDescent="0.2">
      <c r="A4819" t="str">
        <f>"EDN3"</f>
        <v>EDN3</v>
      </c>
      <c r="B4819" t="s">
        <v>4</v>
      </c>
    </row>
    <row r="4820" spans="1:2" x14ac:dyDescent="0.2">
      <c r="A4820" t="str">
        <f>"EDNRA"</f>
        <v>EDNRA</v>
      </c>
      <c r="B4820" t="s">
        <v>3</v>
      </c>
    </row>
    <row r="4821" spans="1:2" x14ac:dyDescent="0.2">
      <c r="A4821" t="str">
        <f>"EDNRB"</f>
        <v>EDNRB</v>
      </c>
      <c r="B4821" t="s">
        <v>3</v>
      </c>
    </row>
    <row r="4822" spans="1:2" x14ac:dyDescent="0.2">
      <c r="A4822" t="str">
        <f>"EEA1"</f>
        <v>EEA1</v>
      </c>
      <c r="B4822" t="s">
        <v>7</v>
      </c>
    </row>
    <row r="4823" spans="1:2" x14ac:dyDescent="0.2">
      <c r="A4823" t="str">
        <f>"EED"</f>
        <v>EED</v>
      </c>
      <c r="B4823" t="s">
        <v>6</v>
      </c>
    </row>
    <row r="4824" spans="1:2" x14ac:dyDescent="0.2">
      <c r="A4824" t="str">
        <f>"EEF1A1"</f>
        <v>EEF1A1</v>
      </c>
      <c r="B4824" t="s">
        <v>3</v>
      </c>
    </row>
    <row r="4825" spans="1:2" x14ac:dyDescent="0.2">
      <c r="A4825" t="str">
        <f>"EEF1A2"</f>
        <v>EEF1A2</v>
      </c>
      <c r="B4825" t="s">
        <v>3</v>
      </c>
    </row>
    <row r="4826" spans="1:2" x14ac:dyDescent="0.2">
      <c r="A4826" t="str">
        <f>"EEF1B2"</f>
        <v>EEF1B2</v>
      </c>
      <c r="B4826" t="s">
        <v>8</v>
      </c>
    </row>
    <row r="4827" spans="1:2" x14ac:dyDescent="0.2">
      <c r="A4827" t="str">
        <f>"EEF1D"</f>
        <v>EEF1D</v>
      </c>
      <c r="B4827" t="s">
        <v>8</v>
      </c>
    </row>
    <row r="4828" spans="1:2" x14ac:dyDescent="0.2">
      <c r="A4828" t="str">
        <f>"EEF1E1"</f>
        <v>EEF1E1</v>
      </c>
      <c r="B4828" t="s">
        <v>3</v>
      </c>
    </row>
    <row r="4829" spans="1:2" x14ac:dyDescent="0.2">
      <c r="A4829" t="str">
        <f>"EEF1G"</f>
        <v>EEF1G</v>
      </c>
      <c r="B4829" t="s">
        <v>2</v>
      </c>
    </row>
    <row r="4830" spans="1:2" x14ac:dyDescent="0.2">
      <c r="A4830" t="str">
        <f>"EEF2"</f>
        <v>EEF2</v>
      </c>
      <c r="B4830" t="s">
        <v>7</v>
      </c>
    </row>
    <row r="4831" spans="1:2" x14ac:dyDescent="0.2">
      <c r="A4831" t="str">
        <f>"EEF2K"</f>
        <v>EEF2K</v>
      </c>
      <c r="B4831" t="s">
        <v>7</v>
      </c>
    </row>
    <row r="4832" spans="1:2" x14ac:dyDescent="0.2">
      <c r="A4832" t="str">
        <f>"EEFSEC"</f>
        <v>EEFSEC</v>
      </c>
      <c r="B4832" t="s">
        <v>6</v>
      </c>
    </row>
    <row r="4833" spans="1:2" x14ac:dyDescent="0.2">
      <c r="A4833" t="str">
        <f>"EEPD1"</f>
        <v>EEPD1</v>
      </c>
      <c r="B4833" t="s">
        <v>8</v>
      </c>
    </row>
    <row r="4834" spans="1:2" x14ac:dyDescent="0.2">
      <c r="A4834" t="str">
        <f>"EFCAB1"</f>
        <v>EFCAB1</v>
      </c>
      <c r="B4834" t="s">
        <v>4</v>
      </c>
    </row>
    <row r="4835" spans="1:2" x14ac:dyDescent="0.2">
      <c r="A4835" t="str">
        <f>"EFCAB11"</f>
        <v>EFCAB11</v>
      </c>
      <c r="B4835" t="s">
        <v>4</v>
      </c>
    </row>
    <row r="4836" spans="1:2" x14ac:dyDescent="0.2">
      <c r="A4836" t="str">
        <f>"EFCAB12"</f>
        <v>EFCAB12</v>
      </c>
      <c r="B4836" t="s">
        <v>4</v>
      </c>
    </row>
    <row r="4837" spans="1:2" x14ac:dyDescent="0.2">
      <c r="A4837" t="str">
        <f>"EFCAB13"</f>
        <v>EFCAB13</v>
      </c>
      <c r="B4837" t="s">
        <v>4</v>
      </c>
    </row>
    <row r="4838" spans="1:2" x14ac:dyDescent="0.2">
      <c r="A4838" t="str">
        <f>"EFCAB14"</f>
        <v>EFCAB14</v>
      </c>
      <c r="B4838" t="s">
        <v>5</v>
      </c>
    </row>
    <row r="4839" spans="1:2" x14ac:dyDescent="0.2">
      <c r="A4839" t="str">
        <f>"EFCAB2"</f>
        <v>EFCAB2</v>
      </c>
      <c r="B4839" t="s">
        <v>3</v>
      </c>
    </row>
    <row r="4840" spans="1:2" x14ac:dyDescent="0.2">
      <c r="A4840" t="str">
        <f>"EFCAB3"</f>
        <v>EFCAB3</v>
      </c>
      <c r="B4840" t="s">
        <v>4</v>
      </c>
    </row>
    <row r="4841" spans="1:2" x14ac:dyDescent="0.2">
      <c r="A4841" t="str">
        <f>"EFCAB4A"</f>
        <v>EFCAB4A</v>
      </c>
      <c r="B4841" t="s">
        <v>4</v>
      </c>
    </row>
    <row r="4842" spans="1:2" x14ac:dyDescent="0.2">
      <c r="A4842" t="str">
        <f>"EFCAB4B"</f>
        <v>EFCAB4B</v>
      </c>
      <c r="B4842" t="s">
        <v>6</v>
      </c>
    </row>
    <row r="4843" spans="1:2" x14ac:dyDescent="0.2">
      <c r="A4843" t="str">
        <f>"EFCAB5"</f>
        <v>EFCAB5</v>
      </c>
      <c r="B4843" t="s">
        <v>4</v>
      </c>
    </row>
    <row r="4844" spans="1:2" x14ac:dyDescent="0.2">
      <c r="A4844" t="str">
        <f>"EFCAB6"</f>
        <v>EFCAB6</v>
      </c>
      <c r="B4844" t="s">
        <v>8</v>
      </c>
    </row>
    <row r="4845" spans="1:2" x14ac:dyDescent="0.2">
      <c r="A4845" t="str">
        <f>"EFCAB7"</f>
        <v>EFCAB7</v>
      </c>
      <c r="B4845" t="s">
        <v>4</v>
      </c>
    </row>
    <row r="4846" spans="1:2" x14ac:dyDescent="0.2">
      <c r="A4846" t="str">
        <f>"EFCAB8"</f>
        <v>EFCAB8</v>
      </c>
      <c r="B4846" t="s">
        <v>4</v>
      </c>
    </row>
    <row r="4847" spans="1:2" x14ac:dyDescent="0.2">
      <c r="A4847" t="str">
        <f>"EFCAB9"</f>
        <v>EFCAB9</v>
      </c>
      <c r="B4847" t="s">
        <v>4</v>
      </c>
    </row>
    <row r="4848" spans="1:2" x14ac:dyDescent="0.2">
      <c r="A4848" t="str">
        <f>"EFCC1"</f>
        <v>EFCC1</v>
      </c>
      <c r="B4848" t="s">
        <v>4</v>
      </c>
    </row>
    <row r="4849" spans="1:2" x14ac:dyDescent="0.2">
      <c r="A4849" t="str">
        <f>"EFEMP1"</f>
        <v>EFEMP1</v>
      </c>
      <c r="B4849" t="s">
        <v>4</v>
      </c>
    </row>
    <row r="4850" spans="1:2" x14ac:dyDescent="0.2">
      <c r="A4850" t="str">
        <f>"EFEMP2"</f>
        <v>EFEMP2</v>
      </c>
      <c r="B4850" t="s">
        <v>3</v>
      </c>
    </row>
    <row r="4851" spans="1:2" x14ac:dyDescent="0.2">
      <c r="A4851" t="str">
        <f>"EFHB"</f>
        <v>EFHB</v>
      </c>
      <c r="B4851" t="s">
        <v>4</v>
      </c>
    </row>
    <row r="4852" spans="1:2" x14ac:dyDescent="0.2">
      <c r="A4852" t="str">
        <f>"EFHC1"</f>
        <v>EFHC1</v>
      </c>
      <c r="B4852" t="s">
        <v>4</v>
      </c>
    </row>
    <row r="4853" spans="1:2" x14ac:dyDescent="0.2">
      <c r="A4853" t="str">
        <f>"EFHC2"</f>
        <v>EFHC2</v>
      </c>
      <c r="B4853" t="s">
        <v>4</v>
      </c>
    </row>
    <row r="4854" spans="1:2" x14ac:dyDescent="0.2">
      <c r="A4854" t="str">
        <f>"EFHD1"</f>
        <v>EFHD1</v>
      </c>
      <c r="B4854" t="s">
        <v>6</v>
      </c>
    </row>
    <row r="4855" spans="1:2" x14ac:dyDescent="0.2">
      <c r="A4855" t="str">
        <f>"EFHD2"</f>
        <v>EFHD2</v>
      </c>
      <c r="B4855" t="s">
        <v>6</v>
      </c>
    </row>
    <row r="4856" spans="1:2" x14ac:dyDescent="0.2">
      <c r="A4856" t="str">
        <f>"EFNA1"</f>
        <v>EFNA1</v>
      </c>
      <c r="B4856" t="s">
        <v>4</v>
      </c>
    </row>
    <row r="4857" spans="1:2" x14ac:dyDescent="0.2">
      <c r="A4857" t="str">
        <f>"EFNA2"</f>
        <v>EFNA2</v>
      </c>
      <c r="B4857" t="s">
        <v>2</v>
      </c>
    </row>
    <row r="4858" spans="1:2" x14ac:dyDescent="0.2">
      <c r="A4858" t="str">
        <f>"EFNA3"</f>
        <v>EFNA3</v>
      </c>
      <c r="B4858" t="s">
        <v>5</v>
      </c>
    </row>
    <row r="4859" spans="1:2" x14ac:dyDescent="0.2">
      <c r="A4859" t="str">
        <f>"EFNA4"</f>
        <v>EFNA4</v>
      </c>
      <c r="B4859" t="s">
        <v>5</v>
      </c>
    </row>
    <row r="4860" spans="1:2" x14ac:dyDescent="0.2">
      <c r="A4860" t="str">
        <f>"EFNA5"</f>
        <v>EFNA5</v>
      </c>
      <c r="B4860" t="s">
        <v>6</v>
      </c>
    </row>
    <row r="4861" spans="1:2" x14ac:dyDescent="0.2">
      <c r="A4861" t="str">
        <f>"EFNB1"</f>
        <v>EFNB1</v>
      </c>
      <c r="B4861" t="s">
        <v>2</v>
      </c>
    </row>
    <row r="4862" spans="1:2" x14ac:dyDescent="0.2">
      <c r="A4862" t="str">
        <f>"EFNB2"</f>
        <v>EFNB2</v>
      </c>
      <c r="B4862" t="s">
        <v>7</v>
      </c>
    </row>
    <row r="4863" spans="1:2" x14ac:dyDescent="0.2">
      <c r="A4863" t="str">
        <f>"EFNB3"</f>
        <v>EFNB3</v>
      </c>
      <c r="B4863" t="s">
        <v>5</v>
      </c>
    </row>
    <row r="4864" spans="1:2" x14ac:dyDescent="0.2">
      <c r="A4864" t="str">
        <f>"EFR3A"</f>
        <v>EFR3A</v>
      </c>
      <c r="B4864" t="s">
        <v>6</v>
      </c>
    </row>
    <row r="4865" spans="1:2" x14ac:dyDescent="0.2">
      <c r="A4865" t="str">
        <f>"EFR3B"</f>
        <v>EFR3B</v>
      </c>
      <c r="B4865" t="s">
        <v>4</v>
      </c>
    </row>
    <row r="4866" spans="1:2" x14ac:dyDescent="0.2">
      <c r="A4866" t="str">
        <f>"EFS"</f>
        <v>EFS</v>
      </c>
      <c r="B4866" t="s">
        <v>4</v>
      </c>
    </row>
    <row r="4867" spans="1:2" x14ac:dyDescent="0.2">
      <c r="A4867" t="str">
        <f>"EFTUD1"</f>
        <v>EFTUD1</v>
      </c>
      <c r="B4867" t="s">
        <v>7</v>
      </c>
    </row>
    <row r="4868" spans="1:2" x14ac:dyDescent="0.2">
      <c r="A4868" t="str">
        <f>"EFTUD2"</f>
        <v>EFTUD2</v>
      </c>
      <c r="B4868" t="s">
        <v>8</v>
      </c>
    </row>
    <row r="4869" spans="1:2" x14ac:dyDescent="0.2">
      <c r="A4869" t="str">
        <f>"EGF"</f>
        <v>EGF</v>
      </c>
      <c r="B4869" t="s">
        <v>3</v>
      </c>
    </row>
    <row r="4870" spans="1:2" x14ac:dyDescent="0.2">
      <c r="A4870" t="str">
        <f>"EGFL6"</f>
        <v>EGFL6</v>
      </c>
      <c r="B4870" t="s">
        <v>3</v>
      </c>
    </row>
    <row r="4871" spans="1:2" x14ac:dyDescent="0.2">
      <c r="A4871" t="str">
        <f>"EGFL7"</f>
        <v>EGFL7</v>
      </c>
      <c r="B4871" t="s">
        <v>4</v>
      </c>
    </row>
    <row r="4872" spans="1:2" x14ac:dyDescent="0.2">
      <c r="A4872" t="str">
        <f>"EGFL8"</f>
        <v>EGFL8</v>
      </c>
      <c r="B4872" t="s">
        <v>4</v>
      </c>
    </row>
    <row r="4873" spans="1:2" x14ac:dyDescent="0.2">
      <c r="A4873" t="str">
        <f>"EGFLAM"</f>
        <v>EGFLAM</v>
      </c>
      <c r="B4873" t="s">
        <v>3</v>
      </c>
    </row>
    <row r="4874" spans="1:2" x14ac:dyDescent="0.2">
      <c r="A4874" t="str">
        <f>"EGFR"</f>
        <v>EGFR</v>
      </c>
      <c r="B4874" t="s">
        <v>7</v>
      </c>
    </row>
    <row r="4875" spans="1:2" x14ac:dyDescent="0.2">
      <c r="A4875" t="str">
        <f>"EGLN1"</f>
        <v>EGLN1</v>
      </c>
      <c r="B4875" t="s">
        <v>7</v>
      </c>
    </row>
    <row r="4876" spans="1:2" x14ac:dyDescent="0.2">
      <c r="A4876" t="str">
        <f>"EGLN2"</f>
        <v>EGLN2</v>
      </c>
      <c r="B4876" t="s">
        <v>7</v>
      </c>
    </row>
    <row r="4877" spans="1:2" x14ac:dyDescent="0.2">
      <c r="A4877" t="str">
        <f>"EGLN3"</f>
        <v>EGLN3</v>
      </c>
      <c r="B4877" t="s">
        <v>7</v>
      </c>
    </row>
    <row r="4878" spans="1:2" x14ac:dyDescent="0.2">
      <c r="A4878" t="str">
        <f>"EGR1"</f>
        <v>EGR1</v>
      </c>
      <c r="B4878" t="s">
        <v>8</v>
      </c>
    </row>
    <row r="4879" spans="1:2" x14ac:dyDescent="0.2">
      <c r="A4879" t="str">
        <f>"EGR2"</f>
        <v>EGR2</v>
      </c>
      <c r="B4879" t="s">
        <v>8</v>
      </c>
    </row>
    <row r="4880" spans="1:2" x14ac:dyDescent="0.2">
      <c r="A4880" t="str">
        <f>"EGR3"</f>
        <v>EGR3</v>
      </c>
      <c r="B4880" t="s">
        <v>8</v>
      </c>
    </row>
    <row r="4881" spans="1:2" x14ac:dyDescent="0.2">
      <c r="A4881" t="str">
        <f>"EGR4"</f>
        <v>EGR4</v>
      </c>
      <c r="B4881" t="s">
        <v>8</v>
      </c>
    </row>
    <row r="4882" spans="1:2" x14ac:dyDescent="0.2">
      <c r="A4882" t="str">
        <f>"EHBP1"</f>
        <v>EHBP1</v>
      </c>
      <c r="B4882" t="s">
        <v>2</v>
      </c>
    </row>
    <row r="4883" spans="1:2" x14ac:dyDescent="0.2">
      <c r="A4883" t="str">
        <f>"EHBP1L1"</f>
        <v>EHBP1L1</v>
      </c>
      <c r="B4883" t="s">
        <v>4</v>
      </c>
    </row>
    <row r="4884" spans="1:2" x14ac:dyDescent="0.2">
      <c r="A4884" t="str">
        <f>"EHD1"</f>
        <v>EHD1</v>
      </c>
      <c r="B4884" t="s">
        <v>2</v>
      </c>
    </row>
    <row r="4885" spans="1:2" x14ac:dyDescent="0.2">
      <c r="A4885" t="str">
        <f>"EHD2"</f>
        <v>EHD2</v>
      </c>
      <c r="B4885" t="s">
        <v>2</v>
      </c>
    </row>
    <row r="4886" spans="1:2" x14ac:dyDescent="0.2">
      <c r="A4886" t="str">
        <f>"EHD3"</f>
        <v>EHD3</v>
      </c>
      <c r="B4886" t="s">
        <v>2</v>
      </c>
    </row>
    <row r="4887" spans="1:2" x14ac:dyDescent="0.2">
      <c r="A4887" t="str">
        <f>"EHD4"</f>
        <v>EHD4</v>
      </c>
      <c r="B4887" t="s">
        <v>2</v>
      </c>
    </row>
    <row r="4888" spans="1:2" x14ac:dyDescent="0.2">
      <c r="A4888" t="str">
        <f>"EHF"</f>
        <v>EHF</v>
      </c>
      <c r="B4888" t="s">
        <v>8</v>
      </c>
    </row>
    <row r="4889" spans="1:2" x14ac:dyDescent="0.2">
      <c r="A4889" t="str">
        <f>"EHHADH"</f>
        <v>EHHADH</v>
      </c>
      <c r="B4889" t="s">
        <v>7</v>
      </c>
    </row>
    <row r="4890" spans="1:2" x14ac:dyDescent="0.2">
      <c r="A4890" t="str">
        <f>"EHMT1"</f>
        <v>EHMT1</v>
      </c>
      <c r="B4890" t="s">
        <v>3</v>
      </c>
    </row>
    <row r="4891" spans="1:2" x14ac:dyDescent="0.2">
      <c r="A4891" t="str">
        <f>"EHMT2"</f>
        <v>EHMT2</v>
      </c>
      <c r="B4891" t="s">
        <v>3</v>
      </c>
    </row>
    <row r="4892" spans="1:2" x14ac:dyDescent="0.2">
      <c r="A4892" t="str">
        <f>"EI24"</f>
        <v>EI24</v>
      </c>
      <c r="B4892" t="s">
        <v>3</v>
      </c>
    </row>
    <row r="4893" spans="1:2" x14ac:dyDescent="0.2">
      <c r="A4893" t="str">
        <f>"EID1"</f>
        <v>EID1</v>
      </c>
      <c r="B4893" t="s">
        <v>3</v>
      </c>
    </row>
    <row r="4894" spans="1:2" x14ac:dyDescent="0.2">
      <c r="A4894" t="str">
        <f>"EID2"</f>
        <v>EID2</v>
      </c>
      <c r="B4894" t="s">
        <v>8</v>
      </c>
    </row>
    <row r="4895" spans="1:2" x14ac:dyDescent="0.2">
      <c r="A4895" t="str">
        <f>"EID2B"</f>
        <v>EID2B</v>
      </c>
      <c r="B4895" t="s">
        <v>4</v>
      </c>
    </row>
    <row r="4896" spans="1:2" x14ac:dyDescent="0.2">
      <c r="A4896" t="str">
        <f>"EID3"</f>
        <v>EID3</v>
      </c>
      <c r="B4896" t="s">
        <v>8</v>
      </c>
    </row>
    <row r="4897" spans="1:2" x14ac:dyDescent="0.2">
      <c r="A4897" t="str">
        <f>"EIF1"</f>
        <v>EIF1</v>
      </c>
      <c r="B4897" t="s">
        <v>2</v>
      </c>
    </row>
    <row r="4898" spans="1:2" x14ac:dyDescent="0.2">
      <c r="A4898" t="str">
        <f>"EIF1AD"</f>
        <v>EIF1AD</v>
      </c>
      <c r="B4898" t="s">
        <v>2</v>
      </c>
    </row>
    <row r="4899" spans="1:2" x14ac:dyDescent="0.2">
      <c r="A4899" t="str">
        <f>"EIF1AX"</f>
        <v>EIF1AX</v>
      </c>
      <c r="B4899" t="s">
        <v>2</v>
      </c>
    </row>
    <row r="4900" spans="1:2" x14ac:dyDescent="0.2">
      <c r="A4900" t="str">
        <f>"EIF1AY"</f>
        <v>EIF1AY</v>
      </c>
      <c r="B4900" t="s">
        <v>2</v>
      </c>
    </row>
    <row r="4901" spans="1:2" x14ac:dyDescent="0.2">
      <c r="A4901" t="str">
        <f>"EIF1B"</f>
        <v>EIF1B</v>
      </c>
      <c r="B4901" t="s">
        <v>2</v>
      </c>
    </row>
    <row r="4902" spans="1:2" x14ac:dyDescent="0.2">
      <c r="A4902" t="str">
        <f>"EIF2A"</f>
        <v>EIF2A</v>
      </c>
      <c r="B4902" t="s">
        <v>2</v>
      </c>
    </row>
    <row r="4903" spans="1:2" x14ac:dyDescent="0.2">
      <c r="A4903" t="str">
        <f>"EIF2AK1"</f>
        <v>EIF2AK1</v>
      </c>
      <c r="B4903" t="s">
        <v>7</v>
      </c>
    </row>
    <row r="4904" spans="1:2" x14ac:dyDescent="0.2">
      <c r="A4904" t="str">
        <f>"EIF2AK2"</f>
        <v>EIF2AK2</v>
      </c>
      <c r="B4904" t="s">
        <v>7</v>
      </c>
    </row>
    <row r="4905" spans="1:2" x14ac:dyDescent="0.2">
      <c r="A4905" t="str">
        <f>"EIF2AK3"</f>
        <v>EIF2AK3</v>
      </c>
      <c r="B4905" t="s">
        <v>7</v>
      </c>
    </row>
    <row r="4906" spans="1:2" x14ac:dyDescent="0.2">
      <c r="A4906" t="str">
        <f>"EIF2AK4"</f>
        <v>EIF2AK4</v>
      </c>
      <c r="B4906" t="s">
        <v>7</v>
      </c>
    </row>
    <row r="4907" spans="1:2" x14ac:dyDescent="0.2">
      <c r="A4907" t="str">
        <f>"EIF2B1"</f>
        <v>EIF2B1</v>
      </c>
      <c r="B4907" t="s">
        <v>2</v>
      </c>
    </row>
    <row r="4908" spans="1:2" x14ac:dyDescent="0.2">
      <c r="A4908" t="str">
        <f>"EIF2B2"</f>
        <v>EIF2B2</v>
      </c>
      <c r="B4908" t="s">
        <v>2</v>
      </c>
    </row>
    <row r="4909" spans="1:2" x14ac:dyDescent="0.2">
      <c r="A4909" t="str">
        <f>"EIF2B3"</f>
        <v>EIF2B3</v>
      </c>
      <c r="B4909" t="s">
        <v>2</v>
      </c>
    </row>
    <row r="4910" spans="1:2" x14ac:dyDescent="0.2">
      <c r="A4910" t="str">
        <f>"EIF2B4"</f>
        <v>EIF2B4</v>
      </c>
      <c r="B4910" t="s">
        <v>2</v>
      </c>
    </row>
    <row r="4911" spans="1:2" x14ac:dyDescent="0.2">
      <c r="A4911" t="str">
        <f>"EIF2B5"</f>
        <v>EIF2B5</v>
      </c>
      <c r="B4911" t="s">
        <v>2</v>
      </c>
    </row>
    <row r="4912" spans="1:2" x14ac:dyDescent="0.2">
      <c r="A4912" t="str">
        <f>"EIF2D"</f>
        <v>EIF2D</v>
      </c>
      <c r="B4912" t="s">
        <v>2</v>
      </c>
    </row>
    <row r="4913" spans="1:2" x14ac:dyDescent="0.2">
      <c r="A4913" t="str">
        <f>"EIF2S1"</f>
        <v>EIF2S1</v>
      </c>
      <c r="B4913" t="s">
        <v>2</v>
      </c>
    </row>
    <row r="4914" spans="1:2" x14ac:dyDescent="0.2">
      <c r="A4914" t="str">
        <f>"EIF2S2"</f>
        <v>EIF2S2</v>
      </c>
      <c r="B4914" t="s">
        <v>2</v>
      </c>
    </row>
    <row r="4915" spans="1:2" x14ac:dyDescent="0.2">
      <c r="A4915" t="str">
        <f>"EIF2S3"</f>
        <v>EIF2S3</v>
      </c>
      <c r="B4915" t="s">
        <v>2</v>
      </c>
    </row>
    <row r="4916" spans="1:2" x14ac:dyDescent="0.2">
      <c r="A4916" t="str">
        <f>"EIF3A"</f>
        <v>EIF3A</v>
      </c>
      <c r="B4916" t="s">
        <v>2</v>
      </c>
    </row>
    <row r="4917" spans="1:2" x14ac:dyDescent="0.2">
      <c r="A4917" t="str">
        <f>"EIF3B"</f>
        <v>EIF3B</v>
      </c>
      <c r="B4917" t="s">
        <v>2</v>
      </c>
    </row>
    <row r="4918" spans="1:2" x14ac:dyDescent="0.2">
      <c r="A4918" t="str">
        <f>"EIF3C"</f>
        <v>EIF3C</v>
      </c>
      <c r="B4918" t="s">
        <v>2</v>
      </c>
    </row>
    <row r="4919" spans="1:2" x14ac:dyDescent="0.2">
      <c r="A4919" t="str">
        <f>"EIF3CL"</f>
        <v>EIF3CL</v>
      </c>
      <c r="B4919" t="s">
        <v>2</v>
      </c>
    </row>
    <row r="4920" spans="1:2" x14ac:dyDescent="0.2">
      <c r="A4920" t="str">
        <f>"EIF3D"</f>
        <v>EIF3D</v>
      </c>
      <c r="B4920" t="s">
        <v>2</v>
      </c>
    </row>
    <row r="4921" spans="1:2" x14ac:dyDescent="0.2">
      <c r="A4921" t="str">
        <f>"EIF3E"</f>
        <v>EIF3E</v>
      </c>
      <c r="B4921" t="s">
        <v>2</v>
      </c>
    </row>
    <row r="4922" spans="1:2" x14ac:dyDescent="0.2">
      <c r="A4922" t="str">
        <f>"EIF3F"</f>
        <v>EIF3F</v>
      </c>
      <c r="B4922" t="s">
        <v>2</v>
      </c>
    </row>
    <row r="4923" spans="1:2" x14ac:dyDescent="0.2">
      <c r="A4923" t="str">
        <f>"EIF3G"</f>
        <v>EIF3G</v>
      </c>
      <c r="B4923" t="s">
        <v>2</v>
      </c>
    </row>
    <row r="4924" spans="1:2" x14ac:dyDescent="0.2">
      <c r="A4924" t="str">
        <f>"EIF3H"</f>
        <v>EIF3H</v>
      </c>
      <c r="B4924" t="s">
        <v>2</v>
      </c>
    </row>
    <row r="4925" spans="1:2" x14ac:dyDescent="0.2">
      <c r="A4925" t="str">
        <f>"EIF3I"</f>
        <v>EIF3I</v>
      </c>
      <c r="B4925" t="s">
        <v>2</v>
      </c>
    </row>
    <row r="4926" spans="1:2" x14ac:dyDescent="0.2">
      <c r="A4926" t="str">
        <f>"EIF3J"</f>
        <v>EIF3J</v>
      </c>
      <c r="B4926" t="s">
        <v>2</v>
      </c>
    </row>
    <row r="4927" spans="1:2" x14ac:dyDescent="0.2">
      <c r="A4927" t="str">
        <f>"EIF3K"</f>
        <v>EIF3K</v>
      </c>
      <c r="B4927" t="s">
        <v>2</v>
      </c>
    </row>
    <row r="4928" spans="1:2" x14ac:dyDescent="0.2">
      <c r="A4928" t="str">
        <f>"EIF3L"</f>
        <v>EIF3L</v>
      </c>
      <c r="B4928" t="s">
        <v>2</v>
      </c>
    </row>
    <row r="4929" spans="1:2" x14ac:dyDescent="0.2">
      <c r="A4929" t="str">
        <f>"EIF3M"</f>
        <v>EIF3M</v>
      </c>
      <c r="B4929" t="s">
        <v>2</v>
      </c>
    </row>
    <row r="4930" spans="1:2" x14ac:dyDescent="0.2">
      <c r="A4930" t="str">
        <f>"EIF4A1"</f>
        <v>EIF4A1</v>
      </c>
      <c r="B4930" t="s">
        <v>2</v>
      </c>
    </row>
    <row r="4931" spans="1:2" x14ac:dyDescent="0.2">
      <c r="A4931" t="str">
        <f>"EIF4A2"</f>
        <v>EIF4A2</v>
      </c>
      <c r="B4931" t="s">
        <v>2</v>
      </c>
    </row>
    <row r="4932" spans="1:2" x14ac:dyDescent="0.2">
      <c r="A4932" t="str">
        <f>"EIF4A3"</f>
        <v>EIF4A3</v>
      </c>
      <c r="B4932" t="s">
        <v>2</v>
      </c>
    </row>
    <row r="4933" spans="1:2" x14ac:dyDescent="0.2">
      <c r="A4933" t="str">
        <f>"EIF4B"</f>
        <v>EIF4B</v>
      </c>
      <c r="B4933" t="s">
        <v>2</v>
      </c>
    </row>
    <row r="4934" spans="1:2" x14ac:dyDescent="0.2">
      <c r="A4934" t="str">
        <f>"EIF4E"</f>
        <v>EIF4E</v>
      </c>
      <c r="B4934" t="s">
        <v>2</v>
      </c>
    </row>
    <row r="4935" spans="1:2" x14ac:dyDescent="0.2">
      <c r="A4935" t="str">
        <f>"EIF4E1B"</f>
        <v>EIF4E1B</v>
      </c>
      <c r="B4935" t="s">
        <v>2</v>
      </c>
    </row>
    <row r="4936" spans="1:2" x14ac:dyDescent="0.2">
      <c r="A4936" t="str">
        <f>"EIF4E2"</f>
        <v>EIF4E2</v>
      </c>
      <c r="B4936" t="s">
        <v>2</v>
      </c>
    </row>
    <row r="4937" spans="1:2" x14ac:dyDescent="0.2">
      <c r="A4937" t="str">
        <f>"EIF4E3"</f>
        <v>EIF4E3</v>
      </c>
      <c r="B4937" t="s">
        <v>2</v>
      </c>
    </row>
    <row r="4938" spans="1:2" x14ac:dyDescent="0.2">
      <c r="A4938" t="str">
        <f>"EIF4EBP1"</f>
        <v>EIF4EBP1</v>
      </c>
      <c r="B4938" t="s">
        <v>2</v>
      </c>
    </row>
    <row r="4939" spans="1:2" x14ac:dyDescent="0.2">
      <c r="A4939" t="str">
        <f>"EIF4EBP2"</f>
        <v>EIF4EBP2</v>
      </c>
      <c r="B4939" t="s">
        <v>2</v>
      </c>
    </row>
    <row r="4940" spans="1:2" x14ac:dyDescent="0.2">
      <c r="A4940" t="str">
        <f>"EIF4EBP3"</f>
        <v>EIF4EBP3</v>
      </c>
      <c r="B4940" t="s">
        <v>2</v>
      </c>
    </row>
    <row r="4941" spans="1:2" x14ac:dyDescent="0.2">
      <c r="A4941" t="str">
        <f>"EIF4ENIF1"</f>
        <v>EIF4ENIF1</v>
      </c>
      <c r="B4941" t="s">
        <v>2</v>
      </c>
    </row>
    <row r="4942" spans="1:2" x14ac:dyDescent="0.2">
      <c r="A4942" t="str">
        <f>"EIF4G1"</f>
        <v>EIF4G1</v>
      </c>
      <c r="B4942" t="s">
        <v>2</v>
      </c>
    </row>
    <row r="4943" spans="1:2" x14ac:dyDescent="0.2">
      <c r="A4943" t="str">
        <f>"EIF4G2"</f>
        <v>EIF4G2</v>
      </c>
      <c r="B4943" t="s">
        <v>2</v>
      </c>
    </row>
    <row r="4944" spans="1:2" x14ac:dyDescent="0.2">
      <c r="A4944" t="str">
        <f>"EIF4G3"</f>
        <v>EIF4G3</v>
      </c>
      <c r="B4944" t="s">
        <v>2</v>
      </c>
    </row>
    <row r="4945" spans="1:2" x14ac:dyDescent="0.2">
      <c r="A4945" t="str">
        <f>"EIF4H"</f>
        <v>EIF4H</v>
      </c>
      <c r="B4945" t="s">
        <v>2</v>
      </c>
    </row>
    <row r="4946" spans="1:2" x14ac:dyDescent="0.2">
      <c r="A4946" t="str">
        <f>"EIF5"</f>
        <v>EIF5</v>
      </c>
      <c r="B4946" t="s">
        <v>2</v>
      </c>
    </row>
    <row r="4947" spans="1:2" x14ac:dyDescent="0.2">
      <c r="A4947" t="str">
        <f>"EIF5A"</f>
        <v>EIF5A</v>
      </c>
      <c r="B4947" t="s">
        <v>2</v>
      </c>
    </row>
    <row r="4948" spans="1:2" x14ac:dyDescent="0.2">
      <c r="A4948" t="str">
        <f>"EIF5A2"</f>
        <v>EIF5A2</v>
      </c>
      <c r="B4948" t="s">
        <v>2</v>
      </c>
    </row>
    <row r="4949" spans="1:2" x14ac:dyDescent="0.2">
      <c r="A4949" t="str">
        <f>"EIF5AL1"</f>
        <v>EIF5AL1</v>
      </c>
      <c r="B4949" t="s">
        <v>2</v>
      </c>
    </row>
    <row r="4950" spans="1:2" x14ac:dyDescent="0.2">
      <c r="A4950" t="str">
        <f>"EIF5B"</f>
        <v>EIF5B</v>
      </c>
      <c r="B4950" t="s">
        <v>2</v>
      </c>
    </row>
    <row r="4951" spans="1:2" x14ac:dyDescent="0.2">
      <c r="A4951" t="str">
        <f>"EIF6"</f>
        <v>EIF6</v>
      </c>
      <c r="B4951" t="s">
        <v>2</v>
      </c>
    </row>
    <row r="4952" spans="1:2" x14ac:dyDescent="0.2">
      <c r="A4952" t="str">
        <f>"ELAC1"</f>
        <v>ELAC1</v>
      </c>
      <c r="B4952" t="s">
        <v>4</v>
      </c>
    </row>
    <row r="4953" spans="1:2" x14ac:dyDescent="0.2">
      <c r="A4953" t="str">
        <f>"ELAC2"</f>
        <v>ELAC2</v>
      </c>
      <c r="B4953" t="s">
        <v>6</v>
      </c>
    </row>
    <row r="4954" spans="1:2" x14ac:dyDescent="0.2">
      <c r="A4954" t="str">
        <f>"ELANE"</f>
        <v>ELANE</v>
      </c>
      <c r="B4954" t="s">
        <v>7</v>
      </c>
    </row>
    <row r="4955" spans="1:2" x14ac:dyDescent="0.2">
      <c r="A4955" t="str">
        <f>"ELAVL1"</f>
        <v>ELAVL1</v>
      </c>
      <c r="B4955" t="s">
        <v>2</v>
      </c>
    </row>
    <row r="4956" spans="1:2" x14ac:dyDescent="0.2">
      <c r="A4956" t="str">
        <f>"ELAVL2"</f>
        <v>ELAVL2</v>
      </c>
      <c r="B4956" t="s">
        <v>8</v>
      </c>
    </row>
    <row r="4957" spans="1:2" x14ac:dyDescent="0.2">
      <c r="A4957" t="str">
        <f>"ELAVL3"</f>
        <v>ELAVL3</v>
      </c>
      <c r="B4957" t="s">
        <v>8</v>
      </c>
    </row>
    <row r="4958" spans="1:2" x14ac:dyDescent="0.2">
      <c r="A4958" t="str">
        <f>"ELAVL4"</f>
        <v>ELAVL4</v>
      </c>
      <c r="B4958" t="s">
        <v>8</v>
      </c>
    </row>
    <row r="4959" spans="1:2" x14ac:dyDescent="0.2">
      <c r="A4959" t="str">
        <f>"ELF1"</f>
        <v>ELF1</v>
      </c>
      <c r="B4959" t="s">
        <v>3</v>
      </c>
    </row>
    <row r="4960" spans="1:2" x14ac:dyDescent="0.2">
      <c r="A4960" t="str">
        <f>"ELF2"</f>
        <v>ELF2</v>
      </c>
      <c r="B4960" t="s">
        <v>8</v>
      </c>
    </row>
    <row r="4961" spans="1:2" x14ac:dyDescent="0.2">
      <c r="A4961" t="str">
        <f>"ELF3"</f>
        <v>ELF3</v>
      </c>
      <c r="B4961" t="s">
        <v>8</v>
      </c>
    </row>
    <row r="4962" spans="1:2" x14ac:dyDescent="0.2">
      <c r="A4962" t="str">
        <f>"ELF4"</f>
        <v>ELF4</v>
      </c>
      <c r="B4962" t="s">
        <v>3</v>
      </c>
    </row>
    <row r="4963" spans="1:2" x14ac:dyDescent="0.2">
      <c r="A4963" t="str">
        <f>"ELF5"</f>
        <v>ELF5</v>
      </c>
      <c r="B4963" t="s">
        <v>8</v>
      </c>
    </row>
    <row r="4964" spans="1:2" x14ac:dyDescent="0.2">
      <c r="A4964" t="str">
        <f>"ELFN1"</f>
        <v>ELFN1</v>
      </c>
      <c r="B4964" t="s">
        <v>5</v>
      </c>
    </row>
    <row r="4965" spans="1:2" x14ac:dyDescent="0.2">
      <c r="A4965" t="str">
        <f>"ELFN2"</f>
        <v>ELFN2</v>
      </c>
      <c r="B4965" t="s">
        <v>5</v>
      </c>
    </row>
    <row r="4966" spans="1:2" x14ac:dyDescent="0.2">
      <c r="A4966" t="str">
        <f>"ELK1"</f>
        <v>ELK1</v>
      </c>
      <c r="B4966" t="s">
        <v>3</v>
      </c>
    </row>
    <row r="4967" spans="1:2" x14ac:dyDescent="0.2">
      <c r="A4967" t="str">
        <f>"ELK3"</f>
        <v>ELK3</v>
      </c>
      <c r="B4967" t="s">
        <v>3</v>
      </c>
    </row>
    <row r="4968" spans="1:2" x14ac:dyDescent="0.2">
      <c r="A4968" t="str">
        <f>"ELK4"</f>
        <v>ELK4</v>
      </c>
      <c r="B4968" t="s">
        <v>3</v>
      </c>
    </row>
    <row r="4969" spans="1:2" x14ac:dyDescent="0.2">
      <c r="A4969" t="str">
        <f>"ELL"</f>
        <v>ELL</v>
      </c>
      <c r="B4969" t="s">
        <v>3</v>
      </c>
    </row>
    <row r="4970" spans="1:2" x14ac:dyDescent="0.2">
      <c r="A4970" t="str">
        <f>"ELL2"</f>
        <v>ELL2</v>
      </c>
      <c r="B4970" t="s">
        <v>8</v>
      </c>
    </row>
    <row r="4971" spans="1:2" x14ac:dyDescent="0.2">
      <c r="A4971" t="str">
        <f>"ELL3"</f>
        <v>ELL3</v>
      </c>
      <c r="B4971" t="s">
        <v>8</v>
      </c>
    </row>
    <row r="4972" spans="1:2" x14ac:dyDescent="0.2">
      <c r="A4972" t="str">
        <f>"ELMO1"</f>
        <v>ELMO1</v>
      </c>
      <c r="B4972" t="s">
        <v>6</v>
      </c>
    </row>
    <row r="4973" spans="1:2" x14ac:dyDescent="0.2">
      <c r="A4973" t="str">
        <f>"ELMO2"</f>
        <v>ELMO2</v>
      </c>
      <c r="B4973" t="s">
        <v>6</v>
      </c>
    </row>
    <row r="4974" spans="1:2" x14ac:dyDescent="0.2">
      <c r="A4974" t="str">
        <f>"ELMO3"</f>
        <v>ELMO3</v>
      </c>
      <c r="B4974" t="s">
        <v>6</v>
      </c>
    </row>
    <row r="4975" spans="1:2" x14ac:dyDescent="0.2">
      <c r="A4975" t="str">
        <f>"ELMOD1"</f>
        <v>ELMOD1</v>
      </c>
      <c r="B4975" t="s">
        <v>6</v>
      </c>
    </row>
    <row r="4976" spans="1:2" x14ac:dyDescent="0.2">
      <c r="A4976" t="str">
        <f>"ELMOD2"</f>
        <v>ELMOD2</v>
      </c>
      <c r="B4976" t="s">
        <v>6</v>
      </c>
    </row>
    <row r="4977" spans="1:2" x14ac:dyDescent="0.2">
      <c r="A4977" t="str">
        <f>"ELMOD3"</f>
        <v>ELMOD3</v>
      </c>
      <c r="B4977" t="s">
        <v>6</v>
      </c>
    </row>
    <row r="4978" spans="1:2" x14ac:dyDescent="0.2">
      <c r="A4978" t="str">
        <f>"ELMSAN1"</f>
        <v>ELMSAN1</v>
      </c>
      <c r="B4978" t="s">
        <v>8</v>
      </c>
    </row>
    <row r="4979" spans="1:2" x14ac:dyDescent="0.2">
      <c r="A4979" t="str">
        <f>"ELN"</f>
        <v>ELN</v>
      </c>
      <c r="B4979" t="s">
        <v>3</v>
      </c>
    </row>
    <row r="4980" spans="1:2" x14ac:dyDescent="0.2">
      <c r="A4980" t="str">
        <f>"ELOF1"</f>
        <v>ELOF1</v>
      </c>
      <c r="B4980" t="s">
        <v>8</v>
      </c>
    </row>
    <row r="4981" spans="1:2" x14ac:dyDescent="0.2">
      <c r="A4981" t="str">
        <f>"ELOVL1"</f>
        <v>ELOVL1</v>
      </c>
      <c r="B4981" t="s">
        <v>6</v>
      </c>
    </row>
    <row r="4982" spans="1:2" x14ac:dyDescent="0.2">
      <c r="A4982" t="str">
        <f>"ELOVL2"</f>
        <v>ELOVL2</v>
      </c>
      <c r="B4982" t="s">
        <v>3</v>
      </c>
    </row>
    <row r="4983" spans="1:2" x14ac:dyDescent="0.2">
      <c r="A4983" t="str">
        <f>"ELOVL3"</f>
        <v>ELOVL3</v>
      </c>
      <c r="B4983" t="s">
        <v>6</v>
      </c>
    </row>
    <row r="4984" spans="1:2" x14ac:dyDescent="0.2">
      <c r="A4984" t="str">
        <f>"ELOVL4"</f>
        <v>ELOVL4</v>
      </c>
      <c r="B4984" t="s">
        <v>7</v>
      </c>
    </row>
    <row r="4985" spans="1:2" x14ac:dyDescent="0.2">
      <c r="A4985" t="str">
        <f>"ELOVL5"</f>
        <v>ELOVL5</v>
      </c>
      <c r="B4985" t="s">
        <v>6</v>
      </c>
    </row>
    <row r="4986" spans="1:2" x14ac:dyDescent="0.2">
      <c r="A4986" t="str">
        <f>"ELOVL6"</f>
        <v>ELOVL6</v>
      </c>
      <c r="B4986" t="s">
        <v>6</v>
      </c>
    </row>
    <row r="4987" spans="1:2" x14ac:dyDescent="0.2">
      <c r="A4987" t="str">
        <f>"ELOVL7"</f>
        <v>ELOVL7</v>
      </c>
      <c r="B4987" t="s">
        <v>6</v>
      </c>
    </row>
    <row r="4988" spans="1:2" x14ac:dyDescent="0.2">
      <c r="A4988" t="str">
        <f>"ELP2"</f>
        <v>ELP2</v>
      </c>
      <c r="B4988" t="s">
        <v>2</v>
      </c>
    </row>
    <row r="4989" spans="1:2" x14ac:dyDescent="0.2">
      <c r="A4989" t="str">
        <f>"ELP3"</f>
        <v>ELP3</v>
      </c>
      <c r="B4989" t="s">
        <v>2</v>
      </c>
    </row>
    <row r="4990" spans="1:2" x14ac:dyDescent="0.2">
      <c r="A4990" t="str">
        <f>"ELP4"</f>
        <v>ELP4</v>
      </c>
      <c r="B4990" t="s">
        <v>8</v>
      </c>
    </row>
    <row r="4991" spans="1:2" x14ac:dyDescent="0.2">
      <c r="A4991" t="str">
        <f>"ELP5"</f>
        <v>ELP5</v>
      </c>
      <c r="B4991" t="s">
        <v>8</v>
      </c>
    </row>
    <row r="4992" spans="1:2" x14ac:dyDescent="0.2">
      <c r="A4992" t="str">
        <f>"ELP6"</f>
        <v>ELP6</v>
      </c>
      <c r="B4992" t="s">
        <v>5</v>
      </c>
    </row>
    <row r="4993" spans="1:2" x14ac:dyDescent="0.2">
      <c r="A4993" t="str">
        <f>"ELSPBP1"</f>
        <v>ELSPBP1</v>
      </c>
      <c r="B4993" t="s">
        <v>7</v>
      </c>
    </row>
    <row r="4994" spans="1:2" x14ac:dyDescent="0.2">
      <c r="A4994" t="str">
        <f>"ELTD1"</f>
        <v>ELTD1</v>
      </c>
      <c r="B4994" t="s">
        <v>5</v>
      </c>
    </row>
    <row r="4995" spans="1:2" x14ac:dyDescent="0.2">
      <c r="A4995" t="str">
        <f>"EMB"</f>
        <v>EMB</v>
      </c>
      <c r="B4995" t="s">
        <v>5</v>
      </c>
    </row>
    <row r="4996" spans="1:2" x14ac:dyDescent="0.2">
      <c r="A4996" t="str">
        <f>"EMC1"</f>
        <v>EMC1</v>
      </c>
      <c r="B4996" t="s">
        <v>6</v>
      </c>
    </row>
    <row r="4997" spans="1:2" x14ac:dyDescent="0.2">
      <c r="A4997" t="str">
        <f>"EMC10"</f>
        <v>EMC10</v>
      </c>
      <c r="B4997" t="s">
        <v>5</v>
      </c>
    </row>
    <row r="4998" spans="1:2" x14ac:dyDescent="0.2">
      <c r="A4998" t="str">
        <f>"EMC2"</f>
        <v>EMC2</v>
      </c>
      <c r="B4998" t="s">
        <v>6</v>
      </c>
    </row>
    <row r="4999" spans="1:2" x14ac:dyDescent="0.2">
      <c r="A4999" t="str">
        <f>"EMC3"</f>
        <v>EMC3</v>
      </c>
      <c r="B4999" t="s">
        <v>6</v>
      </c>
    </row>
    <row r="5000" spans="1:2" x14ac:dyDescent="0.2">
      <c r="A5000" t="str">
        <f>"EMC4"</f>
        <v>EMC4</v>
      </c>
      <c r="B5000" t="s">
        <v>6</v>
      </c>
    </row>
    <row r="5001" spans="1:2" x14ac:dyDescent="0.2">
      <c r="A5001" t="str">
        <f>"EMC6"</f>
        <v>EMC6</v>
      </c>
      <c r="B5001" t="s">
        <v>6</v>
      </c>
    </row>
    <row r="5002" spans="1:2" x14ac:dyDescent="0.2">
      <c r="A5002" t="str">
        <f>"EMC7"</f>
        <v>EMC7</v>
      </c>
      <c r="B5002" t="s">
        <v>6</v>
      </c>
    </row>
    <row r="5003" spans="1:2" x14ac:dyDescent="0.2">
      <c r="A5003" t="str">
        <f>"EMC8"</f>
        <v>EMC8</v>
      </c>
      <c r="B5003" t="s">
        <v>6</v>
      </c>
    </row>
    <row r="5004" spans="1:2" x14ac:dyDescent="0.2">
      <c r="A5004" t="str">
        <f>"EMC9"</f>
        <v>EMC9</v>
      </c>
      <c r="B5004" t="s">
        <v>6</v>
      </c>
    </row>
    <row r="5005" spans="1:2" x14ac:dyDescent="0.2">
      <c r="A5005" t="str">
        <f>"EMCN"</f>
        <v>EMCN</v>
      </c>
      <c r="B5005" t="s">
        <v>5</v>
      </c>
    </row>
    <row r="5006" spans="1:2" x14ac:dyDescent="0.2">
      <c r="A5006" t="str">
        <f>"EMD"</f>
        <v>EMD</v>
      </c>
      <c r="B5006" t="s">
        <v>5</v>
      </c>
    </row>
    <row r="5007" spans="1:2" x14ac:dyDescent="0.2">
      <c r="A5007" t="str">
        <f>"EME1"</f>
        <v>EME1</v>
      </c>
      <c r="B5007" t="s">
        <v>3</v>
      </c>
    </row>
    <row r="5008" spans="1:2" x14ac:dyDescent="0.2">
      <c r="A5008" t="str">
        <f>"EME2"</f>
        <v>EME2</v>
      </c>
      <c r="B5008" t="s">
        <v>4</v>
      </c>
    </row>
    <row r="5009" spans="1:2" x14ac:dyDescent="0.2">
      <c r="A5009" t="str">
        <f>"EMG1"</f>
        <v>EMG1</v>
      </c>
      <c r="B5009" t="s">
        <v>8</v>
      </c>
    </row>
    <row r="5010" spans="1:2" x14ac:dyDescent="0.2">
      <c r="A5010" t="str">
        <f>"EMID1"</f>
        <v>EMID1</v>
      </c>
      <c r="B5010" t="s">
        <v>2</v>
      </c>
    </row>
    <row r="5011" spans="1:2" x14ac:dyDescent="0.2">
      <c r="A5011" t="str">
        <f>"EMILIN1"</f>
        <v>EMILIN1</v>
      </c>
      <c r="B5011" t="s">
        <v>4</v>
      </c>
    </row>
    <row r="5012" spans="1:2" x14ac:dyDescent="0.2">
      <c r="A5012" t="str">
        <f>"EMILIN2"</f>
        <v>EMILIN2</v>
      </c>
      <c r="B5012" t="s">
        <v>4</v>
      </c>
    </row>
    <row r="5013" spans="1:2" x14ac:dyDescent="0.2">
      <c r="A5013" t="str">
        <f>"EMILIN3"</f>
        <v>EMILIN3</v>
      </c>
      <c r="B5013" t="s">
        <v>4</v>
      </c>
    </row>
    <row r="5014" spans="1:2" x14ac:dyDescent="0.2">
      <c r="A5014" t="str">
        <f>"EML1"</f>
        <v>EML1</v>
      </c>
      <c r="B5014" t="s">
        <v>4</v>
      </c>
    </row>
    <row r="5015" spans="1:2" x14ac:dyDescent="0.2">
      <c r="A5015" t="str">
        <f>"EML2"</f>
        <v>EML2</v>
      </c>
      <c r="B5015" t="s">
        <v>2</v>
      </c>
    </row>
    <row r="5016" spans="1:2" x14ac:dyDescent="0.2">
      <c r="A5016" t="str">
        <f>"EML3"</f>
        <v>EML3</v>
      </c>
      <c r="B5016" t="s">
        <v>4</v>
      </c>
    </row>
    <row r="5017" spans="1:2" x14ac:dyDescent="0.2">
      <c r="A5017" t="str">
        <f>"EML4"</f>
        <v>EML4</v>
      </c>
      <c r="B5017" t="s">
        <v>3</v>
      </c>
    </row>
    <row r="5018" spans="1:2" x14ac:dyDescent="0.2">
      <c r="A5018" t="str">
        <f>"EML5"</f>
        <v>EML5</v>
      </c>
      <c r="B5018" t="s">
        <v>4</v>
      </c>
    </row>
    <row r="5019" spans="1:2" x14ac:dyDescent="0.2">
      <c r="A5019" t="str">
        <f>"EML6"</f>
        <v>EML6</v>
      </c>
      <c r="B5019" t="s">
        <v>4</v>
      </c>
    </row>
    <row r="5020" spans="1:2" x14ac:dyDescent="0.2">
      <c r="A5020" t="str">
        <f>"EMP1"</f>
        <v>EMP1</v>
      </c>
      <c r="B5020" t="s">
        <v>3</v>
      </c>
    </row>
    <row r="5021" spans="1:2" x14ac:dyDescent="0.2">
      <c r="A5021" t="str">
        <f>"EMP2"</f>
        <v>EMP2</v>
      </c>
      <c r="B5021" t="s">
        <v>3</v>
      </c>
    </row>
    <row r="5022" spans="1:2" x14ac:dyDescent="0.2">
      <c r="A5022" t="str">
        <f>"EMP3"</f>
        <v>EMP3</v>
      </c>
      <c r="B5022" t="s">
        <v>3</v>
      </c>
    </row>
    <row r="5023" spans="1:2" x14ac:dyDescent="0.2">
      <c r="A5023" t="str">
        <f>"EMR1"</f>
        <v>EMR1</v>
      </c>
      <c r="B5023" t="s">
        <v>5</v>
      </c>
    </row>
    <row r="5024" spans="1:2" x14ac:dyDescent="0.2">
      <c r="A5024" t="str">
        <f>"EMR2"</f>
        <v>EMR2</v>
      </c>
      <c r="B5024" t="s">
        <v>5</v>
      </c>
    </row>
    <row r="5025" spans="1:2" x14ac:dyDescent="0.2">
      <c r="A5025" t="str">
        <f>"EMR3"</f>
        <v>EMR3</v>
      </c>
      <c r="B5025" t="s">
        <v>5</v>
      </c>
    </row>
    <row r="5026" spans="1:2" x14ac:dyDescent="0.2">
      <c r="A5026" t="str">
        <f>"EMX1"</f>
        <v>EMX1</v>
      </c>
      <c r="B5026" t="s">
        <v>8</v>
      </c>
    </row>
    <row r="5027" spans="1:2" x14ac:dyDescent="0.2">
      <c r="A5027" t="str">
        <f>"EMX2"</f>
        <v>EMX2</v>
      </c>
      <c r="B5027" t="s">
        <v>8</v>
      </c>
    </row>
    <row r="5028" spans="1:2" x14ac:dyDescent="0.2">
      <c r="A5028" t="str">
        <f>"EN1"</f>
        <v>EN1</v>
      </c>
      <c r="B5028" t="s">
        <v>8</v>
      </c>
    </row>
    <row r="5029" spans="1:2" x14ac:dyDescent="0.2">
      <c r="A5029" t="str">
        <f>"EN2"</f>
        <v>EN2</v>
      </c>
      <c r="B5029" t="s">
        <v>7</v>
      </c>
    </row>
    <row r="5030" spans="1:2" x14ac:dyDescent="0.2">
      <c r="A5030" t="str">
        <f>"ENAH"</f>
        <v>ENAH</v>
      </c>
      <c r="B5030" t="s">
        <v>6</v>
      </c>
    </row>
    <row r="5031" spans="1:2" x14ac:dyDescent="0.2">
      <c r="A5031" t="str">
        <f>"ENAM"</f>
        <v>ENAM</v>
      </c>
      <c r="B5031" t="s">
        <v>4</v>
      </c>
    </row>
    <row r="5032" spans="1:2" x14ac:dyDescent="0.2">
      <c r="A5032" t="str">
        <f>"ENC1"</f>
        <v>ENC1</v>
      </c>
      <c r="B5032" t="s">
        <v>2</v>
      </c>
    </row>
    <row r="5033" spans="1:2" x14ac:dyDescent="0.2">
      <c r="A5033" t="str">
        <f>"ENDOD1"</f>
        <v>ENDOD1</v>
      </c>
      <c r="B5033" t="s">
        <v>5</v>
      </c>
    </row>
    <row r="5034" spans="1:2" x14ac:dyDescent="0.2">
      <c r="A5034" t="str">
        <f>"ENDOG"</f>
        <v>ENDOG</v>
      </c>
      <c r="B5034" t="s">
        <v>3</v>
      </c>
    </row>
    <row r="5035" spans="1:2" x14ac:dyDescent="0.2">
      <c r="A5035" t="str">
        <f>"ENDOU"</f>
        <v>ENDOU</v>
      </c>
      <c r="B5035" t="s">
        <v>2</v>
      </c>
    </row>
    <row r="5036" spans="1:2" x14ac:dyDescent="0.2">
      <c r="A5036" t="str">
        <f>"ENDOV"</f>
        <v>ENDOV</v>
      </c>
      <c r="B5036" t="s">
        <v>3</v>
      </c>
    </row>
    <row r="5037" spans="1:2" x14ac:dyDescent="0.2">
      <c r="A5037" t="str">
        <f>"ENG"</f>
        <v>ENG</v>
      </c>
      <c r="B5037" t="s">
        <v>5</v>
      </c>
    </row>
    <row r="5038" spans="1:2" x14ac:dyDescent="0.2">
      <c r="A5038" t="str">
        <f>"ENGASE"</f>
        <v>ENGASE</v>
      </c>
      <c r="B5038" t="s">
        <v>3</v>
      </c>
    </row>
    <row r="5039" spans="1:2" x14ac:dyDescent="0.2">
      <c r="A5039" t="str">
        <f>"ENHO"</f>
        <v>ENHO</v>
      </c>
      <c r="B5039" t="s">
        <v>5</v>
      </c>
    </row>
    <row r="5040" spans="1:2" x14ac:dyDescent="0.2">
      <c r="A5040" t="str">
        <f>"ENKD1"</f>
        <v>ENKD1</v>
      </c>
      <c r="B5040" t="s">
        <v>6</v>
      </c>
    </row>
    <row r="5041" spans="1:2" x14ac:dyDescent="0.2">
      <c r="A5041" t="str">
        <f>"ENKUR"</f>
        <v>ENKUR</v>
      </c>
      <c r="B5041" t="s">
        <v>4</v>
      </c>
    </row>
    <row r="5042" spans="1:2" x14ac:dyDescent="0.2">
      <c r="A5042" t="str">
        <f>"ENO1"</f>
        <v>ENO1</v>
      </c>
      <c r="B5042" t="s">
        <v>3</v>
      </c>
    </row>
    <row r="5043" spans="1:2" x14ac:dyDescent="0.2">
      <c r="A5043" t="str">
        <f>"ENO2"</f>
        <v>ENO2</v>
      </c>
      <c r="B5043" t="s">
        <v>3</v>
      </c>
    </row>
    <row r="5044" spans="1:2" x14ac:dyDescent="0.2">
      <c r="A5044" t="str">
        <f>"ENO3"</f>
        <v>ENO3</v>
      </c>
      <c r="B5044" t="s">
        <v>7</v>
      </c>
    </row>
    <row r="5045" spans="1:2" x14ac:dyDescent="0.2">
      <c r="A5045" t="str">
        <f>"ENO4"</f>
        <v>ENO4</v>
      </c>
      <c r="B5045" t="s">
        <v>4</v>
      </c>
    </row>
    <row r="5046" spans="1:2" x14ac:dyDescent="0.2">
      <c r="A5046" t="str">
        <f>"ENOPH1"</f>
        <v>ENOPH1</v>
      </c>
      <c r="B5046" t="s">
        <v>7</v>
      </c>
    </row>
    <row r="5047" spans="1:2" x14ac:dyDescent="0.2">
      <c r="A5047" t="str">
        <f>"ENOSF1"</f>
        <v>ENOSF1</v>
      </c>
      <c r="B5047" t="s">
        <v>2</v>
      </c>
    </row>
    <row r="5048" spans="1:2" x14ac:dyDescent="0.2">
      <c r="A5048" t="str">
        <f>"ENOX1"</f>
        <v>ENOX1</v>
      </c>
      <c r="B5048" t="s">
        <v>4</v>
      </c>
    </row>
    <row r="5049" spans="1:2" x14ac:dyDescent="0.2">
      <c r="A5049" t="str">
        <f>"ENOX2"</f>
        <v>ENOX2</v>
      </c>
      <c r="B5049" t="s">
        <v>4</v>
      </c>
    </row>
    <row r="5050" spans="1:2" x14ac:dyDescent="0.2">
      <c r="A5050" t="str">
        <f>"ENPEP"</f>
        <v>ENPEP</v>
      </c>
      <c r="B5050" t="s">
        <v>7</v>
      </c>
    </row>
    <row r="5051" spans="1:2" x14ac:dyDescent="0.2">
      <c r="A5051" t="str">
        <f>"ENPP1"</f>
        <v>ENPP1</v>
      </c>
      <c r="B5051" t="s">
        <v>7</v>
      </c>
    </row>
    <row r="5052" spans="1:2" x14ac:dyDescent="0.2">
      <c r="A5052" t="str">
        <f>"ENPP2"</f>
        <v>ENPP2</v>
      </c>
      <c r="B5052" t="s">
        <v>7</v>
      </c>
    </row>
    <row r="5053" spans="1:2" x14ac:dyDescent="0.2">
      <c r="A5053" t="str">
        <f>"ENPP3"</f>
        <v>ENPP3</v>
      </c>
      <c r="B5053" t="s">
        <v>7</v>
      </c>
    </row>
    <row r="5054" spans="1:2" x14ac:dyDescent="0.2">
      <c r="A5054" t="str">
        <f>"ENPP4"</f>
        <v>ENPP4</v>
      </c>
      <c r="B5054" t="s">
        <v>3</v>
      </c>
    </row>
    <row r="5055" spans="1:2" x14ac:dyDescent="0.2">
      <c r="A5055" t="str">
        <f>"ENPP5"</f>
        <v>ENPP5</v>
      </c>
      <c r="B5055" t="s">
        <v>5</v>
      </c>
    </row>
    <row r="5056" spans="1:2" x14ac:dyDescent="0.2">
      <c r="A5056" t="str">
        <f>"ENPP6"</f>
        <v>ENPP6</v>
      </c>
      <c r="B5056" t="s">
        <v>2</v>
      </c>
    </row>
    <row r="5057" spans="1:2" x14ac:dyDescent="0.2">
      <c r="A5057" t="str">
        <f>"ENPP7"</f>
        <v>ENPP7</v>
      </c>
      <c r="B5057" t="s">
        <v>6</v>
      </c>
    </row>
    <row r="5058" spans="1:2" x14ac:dyDescent="0.2">
      <c r="A5058" t="str">
        <f>"ENSA"</f>
        <v>ENSA</v>
      </c>
      <c r="B5058" t="s">
        <v>4</v>
      </c>
    </row>
    <row r="5059" spans="1:2" x14ac:dyDescent="0.2">
      <c r="A5059" t="str">
        <f>"ENTHD1"</f>
        <v>ENTHD1</v>
      </c>
      <c r="B5059" t="s">
        <v>4</v>
      </c>
    </row>
    <row r="5060" spans="1:2" x14ac:dyDescent="0.2">
      <c r="A5060" t="str">
        <f>"ENTHD2"</f>
        <v>ENTHD2</v>
      </c>
      <c r="B5060" t="s">
        <v>4</v>
      </c>
    </row>
    <row r="5061" spans="1:2" x14ac:dyDescent="0.2">
      <c r="A5061" t="str">
        <f>"ENTPD1"</f>
        <v>ENTPD1</v>
      </c>
      <c r="B5061" t="s">
        <v>5</v>
      </c>
    </row>
    <row r="5062" spans="1:2" x14ac:dyDescent="0.2">
      <c r="A5062" t="str">
        <f>"ENTPD2"</f>
        <v>ENTPD2</v>
      </c>
      <c r="B5062" t="s">
        <v>5</v>
      </c>
    </row>
    <row r="5063" spans="1:2" x14ac:dyDescent="0.2">
      <c r="A5063" t="str">
        <f>"ENTPD3"</f>
        <v>ENTPD3</v>
      </c>
      <c r="B5063" t="s">
        <v>5</v>
      </c>
    </row>
    <row r="5064" spans="1:2" x14ac:dyDescent="0.2">
      <c r="A5064" t="str">
        <f>"ENTPD4"</f>
        <v>ENTPD4</v>
      </c>
      <c r="B5064" t="s">
        <v>2</v>
      </c>
    </row>
    <row r="5065" spans="1:2" x14ac:dyDescent="0.2">
      <c r="A5065" t="str">
        <f>"ENTPD5"</f>
        <v>ENTPD5</v>
      </c>
      <c r="B5065" t="s">
        <v>3</v>
      </c>
    </row>
    <row r="5066" spans="1:2" x14ac:dyDescent="0.2">
      <c r="A5066" t="str">
        <f>"ENTPD6"</f>
        <v>ENTPD6</v>
      </c>
      <c r="B5066" t="s">
        <v>3</v>
      </c>
    </row>
    <row r="5067" spans="1:2" x14ac:dyDescent="0.2">
      <c r="A5067" t="str">
        <f>"ENTPD7"</f>
        <v>ENTPD7</v>
      </c>
      <c r="B5067" t="s">
        <v>2</v>
      </c>
    </row>
    <row r="5068" spans="1:2" x14ac:dyDescent="0.2">
      <c r="A5068" t="str">
        <f>"ENTPD8"</f>
        <v>ENTPD8</v>
      </c>
      <c r="B5068" t="s">
        <v>5</v>
      </c>
    </row>
    <row r="5069" spans="1:2" x14ac:dyDescent="0.2">
      <c r="A5069" t="str">
        <f>"ENY2"</f>
        <v>ENY2</v>
      </c>
      <c r="B5069" t="s">
        <v>2</v>
      </c>
    </row>
    <row r="5070" spans="1:2" x14ac:dyDescent="0.2">
      <c r="A5070" t="str">
        <f>"EOGT"</f>
        <v>EOGT</v>
      </c>
      <c r="B5070" t="s">
        <v>5</v>
      </c>
    </row>
    <row r="5071" spans="1:2" x14ac:dyDescent="0.2">
      <c r="A5071" t="str">
        <f>"EOMES"</f>
        <v>EOMES</v>
      </c>
      <c r="B5071" t="s">
        <v>8</v>
      </c>
    </row>
    <row r="5072" spans="1:2" x14ac:dyDescent="0.2">
      <c r="A5072" t="str">
        <f>"EP300"</f>
        <v>EP300</v>
      </c>
      <c r="B5072" t="s">
        <v>3</v>
      </c>
    </row>
    <row r="5073" spans="1:2" x14ac:dyDescent="0.2">
      <c r="A5073" t="str">
        <f>"EP400"</f>
        <v>EP400</v>
      </c>
      <c r="B5073" t="s">
        <v>3</v>
      </c>
    </row>
    <row r="5074" spans="1:2" x14ac:dyDescent="0.2">
      <c r="A5074" t="str">
        <f>"EPAS1"</f>
        <v>EPAS1</v>
      </c>
      <c r="B5074" t="s">
        <v>2</v>
      </c>
    </row>
    <row r="5075" spans="1:2" x14ac:dyDescent="0.2">
      <c r="A5075" t="str">
        <f>"EPB41"</f>
        <v>EPB41</v>
      </c>
      <c r="B5075" t="s">
        <v>6</v>
      </c>
    </row>
    <row r="5076" spans="1:2" x14ac:dyDescent="0.2">
      <c r="A5076" t="str">
        <f>"EPB41L1"</f>
        <v>EPB41L1</v>
      </c>
      <c r="B5076" t="s">
        <v>6</v>
      </c>
    </row>
    <row r="5077" spans="1:2" x14ac:dyDescent="0.2">
      <c r="A5077" t="str">
        <f>"EPB41L2"</f>
        <v>EPB41L2</v>
      </c>
      <c r="B5077" t="s">
        <v>6</v>
      </c>
    </row>
    <row r="5078" spans="1:2" x14ac:dyDescent="0.2">
      <c r="A5078" t="str">
        <f>"EPB41L3"</f>
        <v>EPB41L3</v>
      </c>
      <c r="B5078" t="s">
        <v>6</v>
      </c>
    </row>
    <row r="5079" spans="1:2" x14ac:dyDescent="0.2">
      <c r="A5079" t="str">
        <f>"EPB41L4A"</f>
        <v>EPB41L4A</v>
      </c>
      <c r="B5079" t="s">
        <v>6</v>
      </c>
    </row>
    <row r="5080" spans="1:2" x14ac:dyDescent="0.2">
      <c r="A5080" t="str">
        <f>"EPB41L4B"</f>
        <v>EPB41L4B</v>
      </c>
      <c r="B5080" t="s">
        <v>6</v>
      </c>
    </row>
    <row r="5081" spans="1:2" x14ac:dyDescent="0.2">
      <c r="A5081" t="str">
        <f>"EPB41L5"</f>
        <v>EPB41L5</v>
      </c>
      <c r="B5081" t="s">
        <v>6</v>
      </c>
    </row>
    <row r="5082" spans="1:2" x14ac:dyDescent="0.2">
      <c r="A5082" t="str">
        <f>"EPB42"</f>
        <v>EPB42</v>
      </c>
      <c r="B5082" t="s">
        <v>6</v>
      </c>
    </row>
    <row r="5083" spans="1:2" x14ac:dyDescent="0.2">
      <c r="A5083" t="str">
        <f>"EPC1"</f>
        <v>EPC1</v>
      </c>
      <c r="B5083" t="s">
        <v>8</v>
      </c>
    </row>
    <row r="5084" spans="1:2" x14ac:dyDescent="0.2">
      <c r="A5084" t="str">
        <f>"EPC2"</f>
        <v>EPC2</v>
      </c>
      <c r="B5084" t="s">
        <v>3</v>
      </c>
    </row>
    <row r="5085" spans="1:2" x14ac:dyDescent="0.2">
      <c r="A5085" t="str">
        <f>"EPCAM"</f>
        <v>EPCAM</v>
      </c>
      <c r="B5085" t="s">
        <v>6</v>
      </c>
    </row>
    <row r="5086" spans="1:2" x14ac:dyDescent="0.2">
      <c r="A5086" t="str">
        <f>"EPDR1"</f>
        <v>EPDR1</v>
      </c>
      <c r="B5086" t="s">
        <v>5</v>
      </c>
    </row>
    <row r="5087" spans="1:2" x14ac:dyDescent="0.2">
      <c r="A5087" t="str">
        <f>"EPG5"</f>
        <v>EPG5</v>
      </c>
      <c r="B5087" t="s">
        <v>3</v>
      </c>
    </row>
    <row r="5088" spans="1:2" x14ac:dyDescent="0.2">
      <c r="A5088" t="str">
        <f>"EPGN"</f>
        <v>EPGN</v>
      </c>
      <c r="B5088" t="s">
        <v>5</v>
      </c>
    </row>
    <row r="5089" spans="1:2" x14ac:dyDescent="0.2">
      <c r="A5089" t="str">
        <f>"EPHA1"</f>
        <v>EPHA1</v>
      </c>
      <c r="B5089" t="s">
        <v>7</v>
      </c>
    </row>
    <row r="5090" spans="1:2" x14ac:dyDescent="0.2">
      <c r="A5090" t="str">
        <f>"EPHA10"</f>
        <v>EPHA10</v>
      </c>
      <c r="B5090" t="s">
        <v>7</v>
      </c>
    </row>
    <row r="5091" spans="1:2" x14ac:dyDescent="0.2">
      <c r="A5091" t="str">
        <f>"EPHA2"</f>
        <v>EPHA2</v>
      </c>
      <c r="B5091" t="s">
        <v>7</v>
      </c>
    </row>
    <row r="5092" spans="1:2" x14ac:dyDescent="0.2">
      <c r="A5092" t="str">
        <f>"EPHA3"</f>
        <v>EPHA3</v>
      </c>
      <c r="B5092" t="s">
        <v>7</v>
      </c>
    </row>
    <row r="5093" spans="1:2" x14ac:dyDescent="0.2">
      <c r="A5093" t="str">
        <f>"EPHA4"</f>
        <v>EPHA4</v>
      </c>
      <c r="B5093" t="s">
        <v>7</v>
      </c>
    </row>
    <row r="5094" spans="1:2" x14ac:dyDescent="0.2">
      <c r="A5094" t="str">
        <f>"EPHA5"</f>
        <v>EPHA5</v>
      </c>
      <c r="B5094" t="s">
        <v>7</v>
      </c>
    </row>
    <row r="5095" spans="1:2" x14ac:dyDescent="0.2">
      <c r="A5095" t="str">
        <f>"EPHA6"</f>
        <v>EPHA6</v>
      </c>
      <c r="B5095" t="s">
        <v>7</v>
      </c>
    </row>
    <row r="5096" spans="1:2" x14ac:dyDescent="0.2">
      <c r="A5096" t="str">
        <f>"EPHA7"</f>
        <v>EPHA7</v>
      </c>
      <c r="B5096" t="s">
        <v>7</v>
      </c>
    </row>
    <row r="5097" spans="1:2" x14ac:dyDescent="0.2">
      <c r="A5097" t="str">
        <f>"EPHA8"</f>
        <v>EPHA8</v>
      </c>
      <c r="B5097" t="s">
        <v>7</v>
      </c>
    </row>
    <row r="5098" spans="1:2" x14ac:dyDescent="0.2">
      <c r="A5098" t="str">
        <f>"EPHB1"</f>
        <v>EPHB1</v>
      </c>
      <c r="B5098" t="s">
        <v>7</v>
      </c>
    </row>
    <row r="5099" spans="1:2" x14ac:dyDescent="0.2">
      <c r="A5099" t="str">
        <f>"EPHB2"</f>
        <v>EPHB2</v>
      </c>
      <c r="B5099" t="s">
        <v>7</v>
      </c>
    </row>
    <row r="5100" spans="1:2" x14ac:dyDescent="0.2">
      <c r="A5100" t="str">
        <f>"EPHB3"</f>
        <v>EPHB3</v>
      </c>
      <c r="B5100" t="s">
        <v>7</v>
      </c>
    </row>
    <row r="5101" spans="1:2" x14ac:dyDescent="0.2">
      <c r="A5101" t="str">
        <f>"EPHB4"</f>
        <v>EPHB4</v>
      </c>
      <c r="B5101" t="s">
        <v>7</v>
      </c>
    </row>
    <row r="5102" spans="1:2" x14ac:dyDescent="0.2">
      <c r="A5102" t="str">
        <f>"EPHB6"</f>
        <v>EPHB6</v>
      </c>
      <c r="B5102" t="s">
        <v>7</v>
      </c>
    </row>
    <row r="5103" spans="1:2" x14ac:dyDescent="0.2">
      <c r="A5103" t="str">
        <f>"EPHX1"</f>
        <v>EPHX1</v>
      </c>
      <c r="B5103" t="s">
        <v>2</v>
      </c>
    </row>
    <row r="5104" spans="1:2" x14ac:dyDescent="0.2">
      <c r="A5104" t="str">
        <f>"EPHX2"</f>
        <v>EPHX2</v>
      </c>
      <c r="B5104" t="s">
        <v>7</v>
      </c>
    </row>
    <row r="5105" spans="1:2" x14ac:dyDescent="0.2">
      <c r="A5105" t="str">
        <f>"EPHX3"</f>
        <v>EPHX3</v>
      </c>
      <c r="B5105" t="s">
        <v>5</v>
      </c>
    </row>
    <row r="5106" spans="1:2" x14ac:dyDescent="0.2">
      <c r="A5106" t="str">
        <f>"EPHX4"</f>
        <v>EPHX4</v>
      </c>
      <c r="B5106" t="s">
        <v>2</v>
      </c>
    </row>
    <row r="5107" spans="1:2" x14ac:dyDescent="0.2">
      <c r="A5107" t="str">
        <f>"EPM2A"</f>
        <v>EPM2A</v>
      </c>
      <c r="B5107" t="s">
        <v>7</v>
      </c>
    </row>
    <row r="5108" spans="1:2" x14ac:dyDescent="0.2">
      <c r="A5108" t="str">
        <f>"EPM2AIP1"</f>
        <v>EPM2AIP1</v>
      </c>
      <c r="B5108" t="s">
        <v>2</v>
      </c>
    </row>
    <row r="5109" spans="1:2" x14ac:dyDescent="0.2">
      <c r="A5109" t="str">
        <f>"EPN1"</f>
        <v>EPN1</v>
      </c>
      <c r="B5109" t="s">
        <v>7</v>
      </c>
    </row>
    <row r="5110" spans="1:2" x14ac:dyDescent="0.2">
      <c r="A5110" t="str">
        <f>"EPN2"</f>
        <v>EPN2</v>
      </c>
      <c r="B5110" t="s">
        <v>3</v>
      </c>
    </row>
    <row r="5111" spans="1:2" x14ac:dyDescent="0.2">
      <c r="A5111" t="str">
        <f>"EPN3"</f>
        <v>EPN3</v>
      </c>
      <c r="B5111" t="s">
        <v>2</v>
      </c>
    </row>
    <row r="5112" spans="1:2" x14ac:dyDescent="0.2">
      <c r="A5112" t="str">
        <f>"EPO"</f>
        <v>EPO</v>
      </c>
      <c r="B5112" t="s">
        <v>3</v>
      </c>
    </row>
    <row r="5113" spans="1:2" x14ac:dyDescent="0.2">
      <c r="A5113" t="str">
        <f>"EPOR"</f>
        <v>EPOR</v>
      </c>
      <c r="B5113" t="s">
        <v>7</v>
      </c>
    </row>
    <row r="5114" spans="1:2" x14ac:dyDescent="0.2">
      <c r="A5114" t="str">
        <f>"EPPIN"</f>
        <v>EPPIN</v>
      </c>
      <c r="B5114" t="s">
        <v>4</v>
      </c>
    </row>
    <row r="5115" spans="1:2" x14ac:dyDescent="0.2">
      <c r="A5115" t="str">
        <f>"EPPIN-WFDC6"</f>
        <v>EPPIN-WFDC6</v>
      </c>
      <c r="B5115" t="s">
        <v>4</v>
      </c>
    </row>
    <row r="5116" spans="1:2" x14ac:dyDescent="0.2">
      <c r="A5116" t="str">
        <f>"EPPK1"</f>
        <v>EPPK1</v>
      </c>
      <c r="B5116" t="s">
        <v>6</v>
      </c>
    </row>
    <row r="5117" spans="1:2" x14ac:dyDescent="0.2">
      <c r="A5117" t="str">
        <f>"EPRS"</f>
        <v>EPRS</v>
      </c>
      <c r="B5117" t="s">
        <v>7</v>
      </c>
    </row>
    <row r="5118" spans="1:2" x14ac:dyDescent="0.2">
      <c r="A5118" t="str">
        <f>"EPS15"</f>
        <v>EPS15</v>
      </c>
      <c r="B5118" t="s">
        <v>3</v>
      </c>
    </row>
    <row r="5119" spans="1:2" x14ac:dyDescent="0.2">
      <c r="A5119" t="str">
        <f>"EPS15L1"</f>
        <v>EPS15L1</v>
      </c>
      <c r="B5119" t="s">
        <v>6</v>
      </c>
    </row>
    <row r="5120" spans="1:2" x14ac:dyDescent="0.2">
      <c r="A5120" t="str">
        <f>"EPS8"</f>
        <v>EPS8</v>
      </c>
      <c r="B5120" t="s">
        <v>2</v>
      </c>
    </row>
    <row r="5121" spans="1:2" x14ac:dyDescent="0.2">
      <c r="A5121" t="str">
        <f>"EPS8L1"</f>
        <v>EPS8L1</v>
      </c>
      <c r="B5121" t="s">
        <v>7</v>
      </c>
    </row>
    <row r="5122" spans="1:2" x14ac:dyDescent="0.2">
      <c r="A5122" t="str">
        <f>"EPS8L2"</f>
        <v>EPS8L2</v>
      </c>
      <c r="B5122" t="s">
        <v>6</v>
      </c>
    </row>
    <row r="5123" spans="1:2" x14ac:dyDescent="0.2">
      <c r="A5123" t="str">
        <f>"EPS8L3"</f>
        <v>EPS8L3</v>
      </c>
      <c r="B5123" t="s">
        <v>4</v>
      </c>
    </row>
    <row r="5124" spans="1:2" x14ac:dyDescent="0.2">
      <c r="A5124" t="str">
        <f>"EPSTI1"</f>
        <v>EPSTI1</v>
      </c>
      <c r="B5124" t="s">
        <v>5</v>
      </c>
    </row>
    <row r="5125" spans="1:2" x14ac:dyDescent="0.2">
      <c r="A5125" t="str">
        <f>"EPT1"</f>
        <v>EPT1</v>
      </c>
      <c r="B5125" t="s">
        <v>6</v>
      </c>
    </row>
    <row r="5126" spans="1:2" x14ac:dyDescent="0.2">
      <c r="A5126" t="str">
        <f>"EPX"</f>
        <v>EPX</v>
      </c>
      <c r="B5126" t="s">
        <v>7</v>
      </c>
    </row>
    <row r="5127" spans="1:2" x14ac:dyDescent="0.2">
      <c r="A5127" t="str">
        <f>"EPYC"</f>
        <v>EPYC</v>
      </c>
      <c r="B5127" t="s">
        <v>4</v>
      </c>
    </row>
    <row r="5128" spans="1:2" x14ac:dyDescent="0.2">
      <c r="A5128" t="str">
        <f>"EQTN"</f>
        <v>EQTN</v>
      </c>
      <c r="B5128" t="s">
        <v>6</v>
      </c>
    </row>
    <row r="5129" spans="1:2" x14ac:dyDescent="0.2">
      <c r="A5129" t="str">
        <f>"ERAL1"</f>
        <v>ERAL1</v>
      </c>
      <c r="B5129" t="s">
        <v>6</v>
      </c>
    </row>
    <row r="5130" spans="1:2" x14ac:dyDescent="0.2">
      <c r="A5130" t="str">
        <f>"ERAP1"</f>
        <v>ERAP1</v>
      </c>
      <c r="B5130" t="s">
        <v>2</v>
      </c>
    </row>
    <row r="5131" spans="1:2" x14ac:dyDescent="0.2">
      <c r="A5131" t="str">
        <f>"ERAP2"</f>
        <v>ERAP2</v>
      </c>
      <c r="B5131" t="s">
        <v>2</v>
      </c>
    </row>
    <row r="5132" spans="1:2" x14ac:dyDescent="0.2">
      <c r="A5132" t="str">
        <f>"ERAS"</f>
        <v>ERAS</v>
      </c>
      <c r="B5132" t="s">
        <v>6</v>
      </c>
    </row>
    <row r="5133" spans="1:2" x14ac:dyDescent="0.2">
      <c r="A5133" t="str">
        <f>"ERBB2"</f>
        <v>ERBB2</v>
      </c>
      <c r="B5133" t="s">
        <v>7</v>
      </c>
    </row>
    <row r="5134" spans="1:2" x14ac:dyDescent="0.2">
      <c r="A5134" t="str">
        <f>"ERBB2IP"</f>
        <v>ERBB2IP</v>
      </c>
      <c r="B5134" t="s">
        <v>3</v>
      </c>
    </row>
    <row r="5135" spans="1:2" x14ac:dyDescent="0.2">
      <c r="A5135" t="str">
        <f>"ERBB3"</f>
        <v>ERBB3</v>
      </c>
      <c r="B5135" t="s">
        <v>7</v>
      </c>
    </row>
    <row r="5136" spans="1:2" x14ac:dyDescent="0.2">
      <c r="A5136" t="str">
        <f>"ERBB4"</f>
        <v>ERBB4</v>
      </c>
      <c r="B5136" t="s">
        <v>7</v>
      </c>
    </row>
    <row r="5137" spans="1:2" x14ac:dyDescent="0.2">
      <c r="A5137" t="str">
        <f>"ERC1"</f>
        <v>ERC1</v>
      </c>
      <c r="B5137" t="s">
        <v>3</v>
      </c>
    </row>
    <row r="5138" spans="1:2" x14ac:dyDescent="0.2">
      <c r="A5138" t="str">
        <f>"ERC2"</f>
        <v>ERC2</v>
      </c>
      <c r="B5138" t="s">
        <v>6</v>
      </c>
    </row>
    <row r="5139" spans="1:2" x14ac:dyDescent="0.2">
      <c r="A5139" t="str">
        <f>"ERCC1"</f>
        <v>ERCC1</v>
      </c>
      <c r="B5139" t="s">
        <v>3</v>
      </c>
    </row>
    <row r="5140" spans="1:2" x14ac:dyDescent="0.2">
      <c r="A5140" t="str">
        <f>"ERCC2"</f>
        <v>ERCC2</v>
      </c>
      <c r="B5140" t="s">
        <v>3</v>
      </c>
    </row>
    <row r="5141" spans="1:2" x14ac:dyDescent="0.2">
      <c r="A5141" t="str">
        <f>"ERCC3"</f>
        <v>ERCC3</v>
      </c>
      <c r="B5141" t="s">
        <v>3</v>
      </c>
    </row>
    <row r="5142" spans="1:2" x14ac:dyDescent="0.2">
      <c r="A5142" t="str">
        <f>"ERCC4"</f>
        <v>ERCC4</v>
      </c>
      <c r="B5142" t="s">
        <v>3</v>
      </c>
    </row>
    <row r="5143" spans="1:2" x14ac:dyDescent="0.2">
      <c r="A5143" t="str">
        <f>"ERCC5"</f>
        <v>ERCC5</v>
      </c>
      <c r="B5143" t="s">
        <v>3</v>
      </c>
    </row>
    <row r="5144" spans="1:2" x14ac:dyDescent="0.2">
      <c r="A5144" t="str">
        <f>"ERCC6"</f>
        <v>ERCC6</v>
      </c>
      <c r="B5144" t="s">
        <v>3</v>
      </c>
    </row>
    <row r="5145" spans="1:2" x14ac:dyDescent="0.2">
      <c r="A5145" t="str">
        <f>"ERCC6-PGBD3"</f>
        <v>ERCC6-PGBD3</v>
      </c>
      <c r="B5145" t="s">
        <v>4</v>
      </c>
    </row>
    <row r="5146" spans="1:2" x14ac:dyDescent="0.2">
      <c r="A5146" t="str">
        <f>"ERCC6L"</f>
        <v>ERCC6L</v>
      </c>
      <c r="B5146" t="s">
        <v>8</v>
      </c>
    </row>
    <row r="5147" spans="1:2" x14ac:dyDescent="0.2">
      <c r="A5147" t="str">
        <f>"ERCC6L2"</f>
        <v>ERCC6L2</v>
      </c>
      <c r="B5147" t="s">
        <v>8</v>
      </c>
    </row>
    <row r="5148" spans="1:2" x14ac:dyDescent="0.2">
      <c r="A5148" t="str">
        <f>"ERCC8"</f>
        <v>ERCC8</v>
      </c>
      <c r="B5148" t="s">
        <v>3</v>
      </c>
    </row>
    <row r="5149" spans="1:2" x14ac:dyDescent="0.2">
      <c r="A5149" t="str">
        <f>"EREG"</f>
        <v>EREG</v>
      </c>
      <c r="B5149" t="s">
        <v>3</v>
      </c>
    </row>
    <row r="5150" spans="1:2" x14ac:dyDescent="0.2">
      <c r="A5150" t="str">
        <f>"ERF"</f>
        <v>ERF</v>
      </c>
      <c r="B5150" t="s">
        <v>2</v>
      </c>
    </row>
    <row r="5151" spans="1:2" x14ac:dyDescent="0.2">
      <c r="A5151" t="str">
        <f>"ERG"</f>
        <v>ERG</v>
      </c>
      <c r="B5151" t="s">
        <v>3</v>
      </c>
    </row>
    <row r="5152" spans="1:2" x14ac:dyDescent="0.2">
      <c r="A5152" t="str">
        <f>"ERGIC1"</f>
        <v>ERGIC1</v>
      </c>
      <c r="B5152" t="s">
        <v>2</v>
      </c>
    </row>
    <row r="5153" spans="1:2" x14ac:dyDescent="0.2">
      <c r="A5153" t="str">
        <f>"ERGIC2"</f>
        <v>ERGIC2</v>
      </c>
      <c r="B5153" t="s">
        <v>6</v>
      </c>
    </row>
    <row r="5154" spans="1:2" x14ac:dyDescent="0.2">
      <c r="A5154" t="str">
        <f>"ERGIC3"</f>
        <v>ERGIC3</v>
      </c>
      <c r="B5154" t="s">
        <v>6</v>
      </c>
    </row>
    <row r="5155" spans="1:2" x14ac:dyDescent="0.2">
      <c r="A5155" t="str">
        <f>"ERH"</f>
        <v>ERH</v>
      </c>
      <c r="B5155" t="s">
        <v>2</v>
      </c>
    </row>
    <row r="5156" spans="1:2" x14ac:dyDescent="0.2">
      <c r="A5156" t="str">
        <f>"ERI1"</f>
        <v>ERI1</v>
      </c>
      <c r="B5156" t="s">
        <v>6</v>
      </c>
    </row>
    <row r="5157" spans="1:2" x14ac:dyDescent="0.2">
      <c r="A5157" t="str">
        <f>"ERI2"</f>
        <v>ERI2</v>
      </c>
      <c r="B5157" t="s">
        <v>4</v>
      </c>
    </row>
    <row r="5158" spans="1:2" x14ac:dyDescent="0.2">
      <c r="A5158" t="str">
        <f>"ERI3"</f>
        <v>ERI3</v>
      </c>
      <c r="B5158" t="s">
        <v>8</v>
      </c>
    </row>
    <row r="5159" spans="1:2" x14ac:dyDescent="0.2">
      <c r="A5159" t="str">
        <f>"ERICH1"</f>
        <v>ERICH1</v>
      </c>
      <c r="B5159" t="s">
        <v>4</v>
      </c>
    </row>
    <row r="5160" spans="1:2" x14ac:dyDescent="0.2">
      <c r="A5160" t="str">
        <f>"ERICH2"</f>
        <v>ERICH2</v>
      </c>
      <c r="B5160" t="s">
        <v>4</v>
      </c>
    </row>
    <row r="5161" spans="1:2" x14ac:dyDescent="0.2">
      <c r="A5161" t="str">
        <f>"ERLEC1"</f>
        <v>ERLEC1</v>
      </c>
      <c r="B5161" t="s">
        <v>2</v>
      </c>
    </row>
    <row r="5162" spans="1:2" x14ac:dyDescent="0.2">
      <c r="A5162" t="str">
        <f>"ERLIN1"</f>
        <v>ERLIN1</v>
      </c>
      <c r="B5162" t="s">
        <v>2</v>
      </c>
    </row>
    <row r="5163" spans="1:2" x14ac:dyDescent="0.2">
      <c r="A5163" t="str">
        <f>"ERLIN2"</f>
        <v>ERLIN2</v>
      </c>
      <c r="B5163" t="s">
        <v>2</v>
      </c>
    </row>
    <row r="5164" spans="1:2" x14ac:dyDescent="0.2">
      <c r="A5164" t="str">
        <f>"ERMAP"</f>
        <v>ERMAP</v>
      </c>
      <c r="B5164" t="s">
        <v>5</v>
      </c>
    </row>
    <row r="5165" spans="1:2" x14ac:dyDescent="0.2">
      <c r="A5165" t="str">
        <f>"ERMARD"</f>
        <v>ERMARD</v>
      </c>
      <c r="B5165" t="s">
        <v>5</v>
      </c>
    </row>
    <row r="5166" spans="1:2" x14ac:dyDescent="0.2">
      <c r="A5166" t="str">
        <f>"ERMN"</f>
        <v>ERMN</v>
      </c>
      <c r="B5166" t="s">
        <v>4</v>
      </c>
    </row>
    <row r="5167" spans="1:2" x14ac:dyDescent="0.2">
      <c r="A5167" t="str">
        <f>"ERMP1"</f>
        <v>ERMP1</v>
      </c>
      <c r="B5167" t="s">
        <v>2</v>
      </c>
    </row>
    <row r="5168" spans="1:2" x14ac:dyDescent="0.2">
      <c r="A5168" t="str">
        <f>"ERN1"</f>
        <v>ERN1</v>
      </c>
      <c r="B5168" t="s">
        <v>7</v>
      </c>
    </row>
    <row r="5169" spans="1:2" x14ac:dyDescent="0.2">
      <c r="A5169" t="str">
        <f>"ERN2"</f>
        <v>ERN2</v>
      </c>
      <c r="B5169" t="s">
        <v>7</v>
      </c>
    </row>
    <row r="5170" spans="1:2" x14ac:dyDescent="0.2">
      <c r="A5170" t="str">
        <f>"ERO1L"</f>
        <v>ERO1L</v>
      </c>
      <c r="B5170" t="s">
        <v>2</v>
      </c>
    </row>
    <row r="5171" spans="1:2" x14ac:dyDescent="0.2">
      <c r="A5171" t="str">
        <f>"ERO1LB"</f>
        <v>ERO1LB</v>
      </c>
      <c r="B5171" t="s">
        <v>7</v>
      </c>
    </row>
    <row r="5172" spans="1:2" x14ac:dyDescent="0.2">
      <c r="A5172" t="str">
        <f>"ERP27"</f>
        <v>ERP27</v>
      </c>
      <c r="B5172" t="s">
        <v>6</v>
      </c>
    </row>
    <row r="5173" spans="1:2" x14ac:dyDescent="0.2">
      <c r="A5173" t="str">
        <f>"ERP29"</f>
        <v>ERP29</v>
      </c>
      <c r="B5173" t="s">
        <v>2</v>
      </c>
    </row>
    <row r="5174" spans="1:2" x14ac:dyDescent="0.2">
      <c r="A5174" t="str">
        <f>"ERP44"</f>
        <v>ERP44</v>
      </c>
      <c r="B5174" t="s">
        <v>2</v>
      </c>
    </row>
    <row r="5175" spans="1:2" x14ac:dyDescent="0.2">
      <c r="A5175" t="str">
        <f>"ERRFI1"</f>
        <v>ERRFI1</v>
      </c>
      <c r="B5175" t="s">
        <v>3</v>
      </c>
    </row>
    <row r="5176" spans="1:2" x14ac:dyDescent="0.2">
      <c r="A5176" t="str">
        <f>"ERV3-1"</f>
        <v>ERV3-1</v>
      </c>
      <c r="B5176" t="s">
        <v>4</v>
      </c>
    </row>
    <row r="5177" spans="1:2" x14ac:dyDescent="0.2">
      <c r="A5177" t="str">
        <f>"ERVFRD-1"</f>
        <v>ERVFRD-1</v>
      </c>
      <c r="B5177" t="s">
        <v>5</v>
      </c>
    </row>
    <row r="5178" spans="1:2" x14ac:dyDescent="0.2">
      <c r="A5178" t="str">
        <f>"ERVMER34-1"</f>
        <v>ERVMER34-1</v>
      </c>
      <c r="B5178" t="s">
        <v>5</v>
      </c>
    </row>
    <row r="5179" spans="1:2" x14ac:dyDescent="0.2">
      <c r="A5179" t="str">
        <f>"ERVV-1"</f>
        <v>ERVV-1</v>
      </c>
      <c r="B5179" t="s">
        <v>4</v>
      </c>
    </row>
    <row r="5180" spans="1:2" x14ac:dyDescent="0.2">
      <c r="A5180" t="str">
        <f>"ERVV-2"</f>
        <v>ERVV-2</v>
      </c>
      <c r="B5180" t="s">
        <v>4</v>
      </c>
    </row>
    <row r="5181" spans="1:2" x14ac:dyDescent="0.2">
      <c r="A5181" t="str">
        <f>"ERVW-1"</f>
        <v>ERVW-1</v>
      </c>
      <c r="B5181" t="s">
        <v>5</v>
      </c>
    </row>
    <row r="5182" spans="1:2" x14ac:dyDescent="0.2">
      <c r="A5182" t="str">
        <f>"ESAM"</f>
        <v>ESAM</v>
      </c>
      <c r="B5182" t="s">
        <v>5</v>
      </c>
    </row>
    <row r="5183" spans="1:2" x14ac:dyDescent="0.2">
      <c r="A5183" t="str">
        <f>"ESCO1"</f>
        <v>ESCO1</v>
      </c>
      <c r="B5183" t="s">
        <v>3</v>
      </c>
    </row>
    <row r="5184" spans="1:2" x14ac:dyDescent="0.2">
      <c r="A5184" t="str">
        <f>"ESCO2"</f>
        <v>ESCO2</v>
      </c>
      <c r="B5184" t="s">
        <v>3</v>
      </c>
    </row>
    <row r="5185" spans="1:2" x14ac:dyDescent="0.2">
      <c r="A5185" t="str">
        <f>"ESD"</f>
        <v>ESD</v>
      </c>
      <c r="B5185" t="s">
        <v>7</v>
      </c>
    </row>
    <row r="5186" spans="1:2" x14ac:dyDescent="0.2">
      <c r="A5186" t="str">
        <f>"ESF1"</f>
        <v>ESF1</v>
      </c>
      <c r="B5186" t="s">
        <v>8</v>
      </c>
    </row>
    <row r="5187" spans="1:2" x14ac:dyDescent="0.2">
      <c r="A5187" t="str">
        <f>"ESM1"</f>
        <v>ESM1</v>
      </c>
      <c r="B5187" t="s">
        <v>4</v>
      </c>
    </row>
    <row r="5188" spans="1:2" x14ac:dyDescent="0.2">
      <c r="A5188" t="str">
        <f>"ESPL1"</f>
        <v>ESPL1</v>
      </c>
      <c r="B5188" t="s">
        <v>3</v>
      </c>
    </row>
    <row r="5189" spans="1:2" x14ac:dyDescent="0.2">
      <c r="A5189" t="str">
        <f>"ESPN"</f>
        <v>ESPN</v>
      </c>
      <c r="B5189" t="s">
        <v>6</v>
      </c>
    </row>
    <row r="5190" spans="1:2" x14ac:dyDescent="0.2">
      <c r="A5190" t="str">
        <f>"ESPNL"</f>
        <v>ESPNL</v>
      </c>
      <c r="B5190" t="s">
        <v>4</v>
      </c>
    </row>
    <row r="5191" spans="1:2" x14ac:dyDescent="0.2">
      <c r="A5191" t="str">
        <f>"ESR1"</f>
        <v>ESR1</v>
      </c>
      <c r="B5191" t="s">
        <v>3</v>
      </c>
    </row>
    <row r="5192" spans="1:2" x14ac:dyDescent="0.2">
      <c r="A5192" t="str">
        <f>"ESR2"</f>
        <v>ESR2</v>
      </c>
      <c r="B5192" t="s">
        <v>3</v>
      </c>
    </row>
    <row r="5193" spans="1:2" x14ac:dyDescent="0.2">
      <c r="A5193" t="str">
        <f>"ESRP1"</f>
        <v>ESRP1</v>
      </c>
      <c r="B5193" t="s">
        <v>8</v>
      </c>
    </row>
    <row r="5194" spans="1:2" x14ac:dyDescent="0.2">
      <c r="A5194" t="str">
        <f>"ESRP2"</f>
        <v>ESRP2</v>
      </c>
      <c r="B5194" t="s">
        <v>6</v>
      </c>
    </row>
    <row r="5195" spans="1:2" x14ac:dyDescent="0.2">
      <c r="A5195" t="str">
        <f>"ESRRA"</f>
        <v>ESRRA</v>
      </c>
      <c r="B5195" t="s">
        <v>3</v>
      </c>
    </row>
    <row r="5196" spans="1:2" x14ac:dyDescent="0.2">
      <c r="A5196" t="str">
        <f>"ESRRB"</f>
        <v>ESRRB</v>
      </c>
      <c r="B5196" t="s">
        <v>8</v>
      </c>
    </row>
    <row r="5197" spans="1:2" x14ac:dyDescent="0.2">
      <c r="A5197" t="str">
        <f>"ESRRG"</f>
        <v>ESRRG</v>
      </c>
      <c r="B5197" t="s">
        <v>7</v>
      </c>
    </row>
    <row r="5198" spans="1:2" x14ac:dyDescent="0.2">
      <c r="A5198" t="str">
        <f>"ESX1"</f>
        <v>ESX1</v>
      </c>
      <c r="B5198" t="s">
        <v>8</v>
      </c>
    </row>
    <row r="5199" spans="1:2" x14ac:dyDescent="0.2">
      <c r="A5199" t="str">
        <f>"ESYT1"</f>
        <v>ESYT1</v>
      </c>
      <c r="B5199" t="s">
        <v>2</v>
      </c>
    </row>
    <row r="5200" spans="1:2" x14ac:dyDescent="0.2">
      <c r="A5200" t="str">
        <f>"ESYT2"</f>
        <v>ESYT2</v>
      </c>
      <c r="B5200" t="s">
        <v>5</v>
      </c>
    </row>
    <row r="5201" spans="1:2" x14ac:dyDescent="0.2">
      <c r="A5201" t="str">
        <f>"ESYT3"</f>
        <v>ESYT3</v>
      </c>
      <c r="B5201" t="s">
        <v>6</v>
      </c>
    </row>
    <row r="5202" spans="1:2" x14ac:dyDescent="0.2">
      <c r="A5202" t="str">
        <f>"ETAA1"</f>
        <v>ETAA1</v>
      </c>
      <c r="B5202" t="s">
        <v>4</v>
      </c>
    </row>
    <row r="5203" spans="1:2" x14ac:dyDescent="0.2">
      <c r="A5203" t="str">
        <f>"ETF1"</f>
        <v>ETF1</v>
      </c>
      <c r="B5203" t="s">
        <v>2</v>
      </c>
    </row>
    <row r="5204" spans="1:2" x14ac:dyDescent="0.2">
      <c r="A5204" t="str">
        <f>"ETFA"</f>
        <v>ETFA</v>
      </c>
      <c r="B5204" t="s">
        <v>6</v>
      </c>
    </row>
    <row r="5205" spans="1:2" x14ac:dyDescent="0.2">
      <c r="A5205" t="str">
        <f>"ETFB"</f>
        <v>ETFB</v>
      </c>
      <c r="B5205" t="s">
        <v>2</v>
      </c>
    </row>
    <row r="5206" spans="1:2" x14ac:dyDescent="0.2">
      <c r="A5206" t="str">
        <f>"ETFDH"</f>
        <v>ETFDH</v>
      </c>
      <c r="B5206" t="s">
        <v>7</v>
      </c>
    </row>
    <row r="5207" spans="1:2" x14ac:dyDescent="0.2">
      <c r="A5207" t="str">
        <f>"ETHE1"</f>
        <v>ETHE1</v>
      </c>
      <c r="B5207" t="s">
        <v>6</v>
      </c>
    </row>
    <row r="5208" spans="1:2" x14ac:dyDescent="0.2">
      <c r="A5208" t="str">
        <f>"ETNK1"</f>
        <v>ETNK1</v>
      </c>
      <c r="B5208" t="s">
        <v>7</v>
      </c>
    </row>
    <row r="5209" spans="1:2" x14ac:dyDescent="0.2">
      <c r="A5209" t="str">
        <f>"ETNK2"</f>
        <v>ETNK2</v>
      </c>
      <c r="B5209" t="s">
        <v>7</v>
      </c>
    </row>
    <row r="5210" spans="1:2" x14ac:dyDescent="0.2">
      <c r="A5210" t="str">
        <f>"ETNPPL"</f>
        <v>ETNPPL</v>
      </c>
      <c r="B5210" t="s">
        <v>4</v>
      </c>
    </row>
    <row r="5211" spans="1:2" x14ac:dyDescent="0.2">
      <c r="A5211" t="str">
        <f>"ETS1"</f>
        <v>ETS1</v>
      </c>
      <c r="B5211" t="s">
        <v>3</v>
      </c>
    </row>
    <row r="5212" spans="1:2" x14ac:dyDescent="0.2">
      <c r="A5212" t="str">
        <f>"ETS2"</f>
        <v>ETS2</v>
      </c>
      <c r="B5212" t="s">
        <v>3</v>
      </c>
    </row>
    <row r="5213" spans="1:2" x14ac:dyDescent="0.2">
      <c r="A5213" t="str">
        <f>"ETV1"</f>
        <v>ETV1</v>
      </c>
      <c r="B5213" t="s">
        <v>3</v>
      </c>
    </row>
    <row r="5214" spans="1:2" x14ac:dyDescent="0.2">
      <c r="A5214" t="str">
        <f>"ETV2"</f>
        <v>ETV2</v>
      </c>
      <c r="B5214" t="s">
        <v>8</v>
      </c>
    </row>
    <row r="5215" spans="1:2" x14ac:dyDescent="0.2">
      <c r="A5215" t="str">
        <f>"ETV3"</f>
        <v>ETV3</v>
      </c>
      <c r="B5215" t="s">
        <v>8</v>
      </c>
    </row>
    <row r="5216" spans="1:2" x14ac:dyDescent="0.2">
      <c r="A5216" t="str">
        <f>"ETV3L"</f>
        <v>ETV3L</v>
      </c>
      <c r="B5216" t="s">
        <v>8</v>
      </c>
    </row>
    <row r="5217" spans="1:2" x14ac:dyDescent="0.2">
      <c r="A5217" t="str">
        <f>"ETV4"</f>
        <v>ETV4</v>
      </c>
      <c r="B5217" t="s">
        <v>3</v>
      </c>
    </row>
    <row r="5218" spans="1:2" x14ac:dyDescent="0.2">
      <c r="A5218" t="str">
        <f>"ETV5"</f>
        <v>ETV5</v>
      </c>
      <c r="B5218" t="s">
        <v>3</v>
      </c>
    </row>
    <row r="5219" spans="1:2" x14ac:dyDescent="0.2">
      <c r="A5219" t="str">
        <f>"ETV6"</f>
        <v>ETV6</v>
      </c>
      <c r="B5219" t="s">
        <v>3</v>
      </c>
    </row>
    <row r="5220" spans="1:2" x14ac:dyDescent="0.2">
      <c r="A5220" t="str">
        <f>"ETV7"</f>
        <v>ETV7</v>
      </c>
      <c r="B5220" t="s">
        <v>8</v>
      </c>
    </row>
    <row r="5221" spans="1:2" x14ac:dyDescent="0.2">
      <c r="A5221" t="str">
        <f>"EVA1A"</f>
        <v>EVA1A</v>
      </c>
      <c r="B5221" t="s">
        <v>2</v>
      </c>
    </row>
    <row r="5222" spans="1:2" x14ac:dyDescent="0.2">
      <c r="A5222" t="str">
        <f>"EVA1B"</f>
        <v>EVA1B</v>
      </c>
      <c r="B5222" t="s">
        <v>5</v>
      </c>
    </row>
    <row r="5223" spans="1:2" x14ac:dyDescent="0.2">
      <c r="A5223" t="str">
        <f>"EVA1C"</f>
        <v>EVA1C</v>
      </c>
      <c r="B5223" t="s">
        <v>5</v>
      </c>
    </row>
    <row r="5224" spans="1:2" x14ac:dyDescent="0.2">
      <c r="A5224" t="str">
        <f>"EVC"</f>
        <v>EVC</v>
      </c>
      <c r="B5224" t="s">
        <v>5</v>
      </c>
    </row>
    <row r="5225" spans="1:2" x14ac:dyDescent="0.2">
      <c r="A5225" t="str">
        <f>"EVC2"</f>
        <v>EVC2</v>
      </c>
      <c r="B5225" t="s">
        <v>5</v>
      </c>
    </row>
    <row r="5226" spans="1:2" x14ac:dyDescent="0.2">
      <c r="A5226" t="str">
        <f>"EVI2A"</f>
        <v>EVI2A</v>
      </c>
      <c r="B5226" t="s">
        <v>5</v>
      </c>
    </row>
    <row r="5227" spans="1:2" x14ac:dyDescent="0.2">
      <c r="A5227" t="str">
        <f>"EVI2B"</f>
        <v>EVI2B</v>
      </c>
      <c r="B5227" t="s">
        <v>8</v>
      </c>
    </row>
    <row r="5228" spans="1:2" x14ac:dyDescent="0.2">
      <c r="A5228" t="str">
        <f>"EVI5"</f>
        <v>EVI5</v>
      </c>
      <c r="B5228" t="s">
        <v>3</v>
      </c>
    </row>
    <row r="5229" spans="1:2" x14ac:dyDescent="0.2">
      <c r="A5229" t="str">
        <f>"EVI5L"</f>
        <v>EVI5L</v>
      </c>
      <c r="B5229" t="s">
        <v>4</v>
      </c>
    </row>
    <row r="5230" spans="1:2" x14ac:dyDescent="0.2">
      <c r="A5230" t="str">
        <f>"EVL"</f>
        <v>EVL</v>
      </c>
      <c r="B5230" t="s">
        <v>6</v>
      </c>
    </row>
    <row r="5231" spans="1:2" x14ac:dyDescent="0.2">
      <c r="A5231" t="str">
        <f>"EVPL"</f>
        <v>EVPL</v>
      </c>
      <c r="B5231" t="s">
        <v>6</v>
      </c>
    </row>
    <row r="5232" spans="1:2" x14ac:dyDescent="0.2">
      <c r="A5232" t="str">
        <f>"EVPLL"</f>
        <v>EVPLL</v>
      </c>
      <c r="B5232" t="s">
        <v>4</v>
      </c>
    </row>
    <row r="5233" spans="1:2" x14ac:dyDescent="0.2">
      <c r="A5233" t="str">
        <f>"EVX1"</f>
        <v>EVX1</v>
      </c>
      <c r="B5233" t="s">
        <v>8</v>
      </c>
    </row>
    <row r="5234" spans="1:2" x14ac:dyDescent="0.2">
      <c r="A5234" t="str">
        <f>"EVX2"</f>
        <v>EVX2</v>
      </c>
      <c r="B5234" t="s">
        <v>8</v>
      </c>
    </row>
    <row r="5235" spans="1:2" x14ac:dyDescent="0.2">
      <c r="A5235" t="str">
        <f>"EWSR1"</f>
        <v>EWSR1</v>
      </c>
      <c r="B5235" t="s">
        <v>3</v>
      </c>
    </row>
    <row r="5236" spans="1:2" x14ac:dyDescent="0.2">
      <c r="A5236" t="str">
        <f>"EXD1"</f>
        <v>EXD1</v>
      </c>
      <c r="B5236" t="s">
        <v>4</v>
      </c>
    </row>
    <row r="5237" spans="1:2" x14ac:dyDescent="0.2">
      <c r="A5237" t="str">
        <f>"EXD2"</f>
        <v>EXD2</v>
      </c>
      <c r="B5237" t="s">
        <v>5</v>
      </c>
    </row>
    <row r="5238" spans="1:2" x14ac:dyDescent="0.2">
      <c r="A5238" t="str">
        <f>"EXD3"</f>
        <v>EXD3</v>
      </c>
      <c r="B5238" t="s">
        <v>6</v>
      </c>
    </row>
    <row r="5239" spans="1:2" x14ac:dyDescent="0.2">
      <c r="A5239" t="str">
        <f>"EXO1"</f>
        <v>EXO1</v>
      </c>
      <c r="B5239" t="s">
        <v>3</v>
      </c>
    </row>
    <row r="5240" spans="1:2" x14ac:dyDescent="0.2">
      <c r="A5240" t="str">
        <f>"EXO5"</f>
        <v>EXO5</v>
      </c>
      <c r="B5240" t="s">
        <v>3</v>
      </c>
    </row>
    <row r="5241" spans="1:2" x14ac:dyDescent="0.2">
      <c r="A5241" t="str">
        <f>"EXOC1"</f>
        <v>EXOC1</v>
      </c>
      <c r="B5241" t="s">
        <v>6</v>
      </c>
    </row>
    <row r="5242" spans="1:2" x14ac:dyDescent="0.2">
      <c r="A5242" t="str">
        <f>"EXOC2"</f>
        <v>EXOC2</v>
      </c>
      <c r="B5242" t="s">
        <v>6</v>
      </c>
    </row>
    <row r="5243" spans="1:2" x14ac:dyDescent="0.2">
      <c r="A5243" t="str">
        <f>"EXOC3"</f>
        <v>EXOC3</v>
      </c>
      <c r="B5243" t="s">
        <v>2</v>
      </c>
    </row>
    <row r="5244" spans="1:2" x14ac:dyDescent="0.2">
      <c r="A5244" t="str">
        <f>"EXOC3L1"</f>
        <v>EXOC3L1</v>
      </c>
      <c r="B5244" t="s">
        <v>2</v>
      </c>
    </row>
    <row r="5245" spans="1:2" x14ac:dyDescent="0.2">
      <c r="A5245" t="str">
        <f>"EXOC3L2"</f>
        <v>EXOC3L2</v>
      </c>
      <c r="B5245" t="s">
        <v>4</v>
      </c>
    </row>
    <row r="5246" spans="1:2" x14ac:dyDescent="0.2">
      <c r="A5246" t="str">
        <f>"EXOC3L4"</f>
        <v>EXOC3L4</v>
      </c>
      <c r="B5246" t="s">
        <v>4</v>
      </c>
    </row>
    <row r="5247" spans="1:2" x14ac:dyDescent="0.2">
      <c r="A5247" t="str">
        <f>"EXOC4"</f>
        <v>EXOC4</v>
      </c>
      <c r="B5247" t="s">
        <v>6</v>
      </c>
    </row>
    <row r="5248" spans="1:2" x14ac:dyDescent="0.2">
      <c r="A5248" t="str">
        <f>"EXOC5"</f>
        <v>EXOC5</v>
      </c>
      <c r="B5248" t="s">
        <v>2</v>
      </c>
    </row>
    <row r="5249" spans="1:2" x14ac:dyDescent="0.2">
      <c r="A5249" t="str">
        <f>"EXOC6"</f>
        <v>EXOC6</v>
      </c>
      <c r="B5249" t="s">
        <v>6</v>
      </c>
    </row>
    <row r="5250" spans="1:2" x14ac:dyDescent="0.2">
      <c r="A5250" t="str">
        <f>"EXOC6B"</f>
        <v>EXOC6B</v>
      </c>
      <c r="B5250" t="s">
        <v>2</v>
      </c>
    </row>
    <row r="5251" spans="1:2" x14ac:dyDescent="0.2">
      <c r="A5251" t="str">
        <f>"EXOC7"</f>
        <v>EXOC7</v>
      </c>
      <c r="B5251" t="s">
        <v>2</v>
      </c>
    </row>
    <row r="5252" spans="1:2" x14ac:dyDescent="0.2">
      <c r="A5252" t="str">
        <f>"EXOC8"</f>
        <v>EXOC8</v>
      </c>
      <c r="B5252" t="s">
        <v>2</v>
      </c>
    </row>
    <row r="5253" spans="1:2" x14ac:dyDescent="0.2">
      <c r="A5253" t="str">
        <f>"EXOG"</f>
        <v>EXOG</v>
      </c>
      <c r="B5253" t="s">
        <v>6</v>
      </c>
    </row>
    <row r="5254" spans="1:2" x14ac:dyDescent="0.2">
      <c r="A5254" t="str">
        <f>"EXOSC1"</f>
        <v>EXOSC1</v>
      </c>
      <c r="B5254" t="s">
        <v>8</v>
      </c>
    </row>
    <row r="5255" spans="1:2" x14ac:dyDescent="0.2">
      <c r="A5255" t="str">
        <f>"EXOSC10"</f>
        <v>EXOSC10</v>
      </c>
      <c r="B5255" t="s">
        <v>8</v>
      </c>
    </row>
    <row r="5256" spans="1:2" x14ac:dyDescent="0.2">
      <c r="A5256" t="str">
        <f>"EXOSC2"</f>
        <v>EXOSC2</v>
      </c>
      <c r="B5256" t="s">
        <v>8</v>
      </c>
    </row>
    <row r="5257" spans="1:2" x14ac:dyDescent="0.2">
      <c r="A5257" t="str">
        <f>"EXOSC3"</f>
        <v>EXOSC3</v>
      </c>
      <c r="B5257" t="s">
        <v>8</v>
      </c>
    </row>
    <row r="5258" spans="1:2" x14ac:dyDescent="0.2">
      <c r="A5258" t="str">
        <f>"EXOSC4"</f>
        <v>EXOSC4</v>
      </c>
      <c r="B5258" t="s">
        <v>8</v>
      </c>
    </row>
    <row r="5259" spans="1:2" x14ac:dyDescent="0.2">
      <c r="A5259" t="str">
        <f>"EXOSC5"</f>
        <v>EXOSC5</v>
      </c>
      <c r="B5259" t="s">
        <v>8</v>
      </c>
    </row>
    <row r="5260" spans="1:2" x14ac:dyDescent="0.2">
      <c r="A5260" t="str">
        <f>"EXOSC6"</f>
        <v>EXOSC6</v>
      </c>
      <c r="B5260" t="s">
        <v>8</v>
      </c>
    </row>
    <row r="5261" spans="1:2" x14ac:dyDescent="0.2">
      <c r="A5261" t="str">
        <f>"EXOSC7"</f>
        <v>EXOSC7</v>
      </c>
      <c r="B5261" t="s">
        <v>8</v>
      </c>
    </row>
    <row r="5262" spans="1:2" x14ac:dyDescent="0.2">
      <c r="A5262" t="str">
        <f>"EXOSC8"</f>
        <v>EXOSC8</v>
      </c>
      <c r="B5262" t="s">
        <v>8</v>
      </c>
    </row>
    <row r="5263" spans="1:2" x14ac:dyDescent="0.2">
      <c r="A5263" t="str">
        <f>"EXOSC9"</f>
        <v>EXOSC9</v>
      </c>
      <c r="B5263" t="s">
        <v>8</v>
      </c>
    </row>
    <row r="5264" spans="1:2" x14ac:dyDescent="0.2">
      <c r="A5264" t="str">
        <f>"EXPH5"</f>
        <v>EXPH5</v>
      </c>
      <c r="B5264" t="s">
        <v>4</v>
      </c>
    </row>
    <row r="5265" spans="1:2" x14ac:dyDescent="0.2">
      <c r="A5265" t="str">
        <f>"EXT1"</f>
        <v>EXT1</v>
      </c>
      <c r="B5265" t="s">
        <v>3</v>
      </c>
    </row>
    <row r="5266" spans="1:2" x14ac:dyDescent="0.2">
      <c r="A5266" t="str">
        <f>"EXT2"</f>
        <v>EXT2</v>
      </c>
      <c r="B5266" t="s">
        <v>3</v>
      </c>
    </row>
    <row r="5267" spans="1:2" x14ac:dyDescent="0.2">
      <c r="A5267" t="str">
        <f>"EXTL1"</f>
        <v>EXTL1</v>
      </c>
      <c r="B5267" t="s">
        <v>2</v>
      </c>
    </row>
    <row r="5268" spans="1:2" x14ac:dyDescent="0.2">
      <c r="A5268" t="str">
        <f>"EXTL2"</f>
        <v>EXTL2</v>
      </c>
      <c r="B5268" t="s">
        <v>7</v>
      </c>
    </row>
    <row r="5269" spans="1:2" x14ac:dyDescent="0.2">
      <c r="A5269" t="str">
        <f>"EXTL3"</f>
        <v>EXTL3</v>
      </c>
      <c r="B5269" t="s">
        <v>2</v>
      </c>
    </row>
    <row r="5270" spans="1:2" x14ac:dyDescent="0.2">
      <c r="A5270" t="str">
        <f>"EYA1"</f>
        <v>EYA1</v>
      </c>
      <c r="B5270" t="s">
        <v>2</v>
      </c>
    </row>
    <row r="5271" spans="1:2" x14ac:dyDescent="0.2">
      <c r="A5271" t="str">
        <f>"EYA2"</f>
        <v>EYA2</v>
      </c>
      <c r="B5271" t="s">
        <v>3</v>
      </c>
    </row>
    <row r="5272" spans="1:2" x14ac:dyDescent="0.2">
      <c r="A5272" t="str">
        <f>"EYA3"</f>
        <v>EYA3</v>
      </c>
      <c r="B5272" t="s">
        <v>8</v>
      </c>
    </row>
    <row r="5273" spans="1:2" x14ac:dyDescent="0.2">
      <c r="A5273" t="str">
        <f>"EYA4"</f>
        <v>EYA4</v>
      </c>
      <c r="B5273" t="s">
        <v>8</v>
      </c>
    </row>
    <row r="5274" spans="1:2" x14ac:dyDescent="0.2">
      <c r="A5274" t="str">
        <f>"EYS"</f>
        <v>EYS</v>
      </c>
      <c r="B5274" t="s">
        <v>4</v>
      </c>
    </row>
    <row r="5275" spans="1:2" x14ac:dyDescent="0.2">
      <c r="A5275" t="str">
        <f>"EZH1"</f>
        <v>EZH1</v>
      </c>
      <c r="B5275" t="s">
        <v>2</v>
      </c>
    </row>
    <row r="5276" spans="1:2" x14ac:dyDescent="0.2">
      <c r="A5276" t="str">
        <f>"EZH2"</f>
        <v>EZH2</v>
      </c>
      <c r="B5276" t="s">
        <v>3</v>
      </c>
    </row>
    <row r="5277" spans="1:2" x14ac:dyDescent="0.2">
      <c r="A5277" t="str">
        <f>"EZR"</f>
        <v>EZR</v>
      </c>
      <c r="B5277" t="s">
        <v>6</v>
      </c>
    </row>
    <row r="5278" spans="1:2" x14ac:dyDescent="0.2">
      <c r="A5278" t="str">
        <f>"F10"</f>
        <v>F10</v>
      </c>
      <c r="B5278" t="s">
        <v>7</v>
      </c>
    </row>
    <row r="5279" spans="1:2" x14ac:dyDescent="0.2">
      <c r="A5279" t="str">
        <f>"F11"</f>
        <v>F11</v>
      </c>
      <c r="B5279" t="s">
        <v>7</v>
      </c>
    </row>
    <row r="5280" spans="1:2" x14ac:dyDescent="0.2">
      <c r="A5280" t="str">
        <f>"F11R"</f>
        <v>F11R</v>
      </c>
      <c r="B5280" t="s">
        <v>6</v>
      </c>
    </row>
    <row r="5281" spans="1:2" x14ac:dyDescent="0.2">
      <c r="A5281" t="str">
        <f>"F12"</f>
        <v>F12</v>
      </c>
      <c r="B5281" t="s">
        <v>2</v>
      </c>
    </row>
    <row r="5282" spans="1:2" x14ac:dyDescent="0.2">
      <c r="A5282" t="str">
        <f>"F13A1"</f>
        <v>F13A1</v>
      </c>
      <c r="B5282" t="s">
        <v>7</v>
      </c>
    </row>
    <row r="5283" spans="1:2" x14ac:dyDescent="0.2">
      <c r="A5283" t="str">
        <f>"F13B"</f>
        <v>F13B</v>
      </c>
      <c r="B5283" t="s">
        <v>4</v>
      </c>
    </row>
    <row r="5284" spans="1:2" x14ac:dyDescent="0.2">
      <c r="A5284" t="str">
        <f>"F2"</f>
        <v>F2</v>
      </c>
      <c r="B5284" t="s">
        <v>7</v>
      </c>
    </row>
    <row r="5285" spans="1:2" x14ac:dyDescent="0.2">
      <c r="A5285" t="str">
        <f>"F2R"</f>
        <v>F2R</v>
      </c>
      <c r="B5285" t="s">
        <v>7</v>
      </c>
    </row>
    <row r="5286" spans="1:2" x14ac:dyDescent="0.2">
      <c r="A5286" t="str">
        <f>"F2RL1"</f>
        <v>F2RL1</v>
      </c>
      <c r="B5286" t="s">
        <v>5</v>
      </c>
    </row>
    <row r="5287" spans="1:2" x14ac:dyDescent="0.2">
      <c r="A5287" t="str">
        <f>"F2RL2"</f>
        <v>F2RL2</v>
      </c>
      <c r="B5287" t="s">
        <v>5</v>
      </c>
    </row>
    <row r="5288" spans="1:2" x14ac:dyDescent="0.2">
      <c r="A5288" t="str">
        <f>"F2RL3"</f>
        <v>F2RL3</v>
      </c>
      <c r="B5288" t="s">
        <v>5</v>
      </c>
    </row>
    <row r="5289" spans="1:2" x14ac:dyDescent="0.2">
      <c r="A5289" t="str">
        <f>"F3"</f>
        <v>F3</v>
      </c>
      <c r="B5289" t="s">
        <v>7</v>
      </c>
    </row>
    <row r="5290" spans="1:2" x14ac:dyDescent="0.2">
      <c r="A5290" t="str">
        <f>"F5"</f>
        <v>F5</v>
      </c>
      <c r="B5290" t="s">
        <v>7</v>
      </c>
    </row>
    <row r="5291" spans="1:2" x14ac:dyDescent="0.2">
      <c r="A5291" t="str">
        <f>"F7"</f>
        <v>F7</v>
      </c>
      <c r="B5291" t="s">
        <v>7</v>
      </c>
    </row>
    <row r="5292" spans="1:2" x14ac:dyDescent="0.2">
      <c r="A5292" t="str">
        <f>"F8"</f>
        <v>F8</v>
      </c>
      <c r="B5292" t="s">
        <v>3</v>
      </c>
    </row>
    <row r="5293" spans="1:2" x14ac:dyDescent="0.2">
      <c r="A5293" t="str">
        <f>"F8A1"</f>
        <v>F8A1</v>
      </c>
      <c r="B5293" t="s">
        <v>4</v>
      </c>
    </row>
    <row r="5294" spans="1:2" x14ac:dyDescent="0.2">
      <c r="A5294" t="str">
        <f>"F8A2"</f>
        <v>F8A2</v>
      </c>
      <c r="B5294" t="s">
        <v>4</v>
      </c>
    </row>
    <row r="5295" spans="1:2" x14ac:dyDescent="0.2">
      <c r="A5295" t="str">
        <f>"F8A3"</f>
        <v>F8A3</v>
      </c>
      <c r="B5295" t="s">
        <v>4</v>
      </c>
    </row>
    <row r="5296" spans="1:2" x14ac:dyDescent="0.2">
      <c r="A5296" t="str">
        <f>"F9"</f>
        <v>F9</v>
      </c>
      <c r="B5296" t="s">
        <v>7</v>
      </c>
    </row>
    <row r="5297" spans="1:2" x14ac:dyDescent="0.2">
      <c r="A5297" t="str">
        <f>"FA2H"</f>
        <v>FA2H</v>
      </c>
      <c r="B5297" t="s">
        <v>6</v>
      </c>
    </row>
    <row r="5298" spans="1:2" x14ac:dyDescent="0.2">
      <c r="A5298" t="str">
        <f>"FAAH"</f>
        <v>FAAH</v>
      </c>
      <c r="B5298" t="s">
        <v>7</v>
      </c>
    </row>
    <row r="5299" spans="1:2" x14ac:dyDescent="0.2">
      <c r="A5299" t="str">
        <f>"FAAH2"</f>
        <v>FAAH2</v>
      </c>
      <c r="B5299" t="s">
        <v>2</v>
      </c>
    </row>
    <row r="5300" spans="1:2" x14ac:dyDescent="0.2">
      <c r="A5300" t="str">
        <f>"FABP1"</f>
        <v>FABP1</v>
      </c>
      <c r="B5300" t="s">
        <v>2</v>
      </c>
    </row>
    <row r="5301" spans="1:2" x14ac:dyDescent="0.2">
      <c r="A5301" t="str">
        <f>"FABP12"</f>
        <v>FABP12</v>
      </c>
      <c r="B5301" t="s">
        <v>4</v>
      </c>
    </row>
    <row r="5302" spans="1:2" x14ac:dyDescent="0.2">
      <c r="A5302" t="str">
        <f>"FABP2"</f>
        <v>FABP2</v>
      </c>
      <c r="B5302" t="s">
        <v>2</v>
      </c>
    </row>
    <row r="5303" spans="1:2" x14ac:dyDescent="0.2">
      <c r="A5303" t="str">
        <f>"FABP3"</f>
        <v>FABP3</v>
      </c>
      <c r="B5303" t="s">
        <v>2</v>
      </c>
    </row>
    <row r="5304" spans="1:2" x14ac:dyDescent="0.2">
      <c r="A5304" t="str">
        <f>"FABP4"</f>
        <v>FABP4</v>
      </c>
      <c r="B5304" t="s">
        <v>2</v>
      </c>
    </row>
    <row r="5305" spans="1:2" x14ac:dyDescent="0.2">
      <c r="A5305" t="str">
        <f>"FABP5"</f>
        <v>FABP5</v>
      </c>
      <c r="B5305" t="s">
        <v>2</v>
      </c>
    </row>
    <row r="5306" spans="1:2" x14ac:dyDescent="0.2">
      <c r="A5306" t="str">
        <f>"FABP6"</f>
        <v>FABP6</v>
      </c>
      <c r="B5306" t="s">
        <v>7</v>
      </c>
    </row>
    <row r="5307" spans="1:2" x14ac:dyDescent="0.2">
      <c r="A5307" t="str">
        <f>"FABP7"</f>
        <v>FABP7</v>
      </c>
      <c r="B5307" t="s">
        <v>2</v>
      </c>
    </row>
    <row r="5308" spans="1:2" x14ac:dyDescent="0.2">
      <c r="A5308" t="str">
        <f>"FABP9"</f>
        <v>FABP9</v>
      </c>
      <c r="B5308" t="s">
        <v>6</v>
      </c>
    </row>
    <row r="5309" spans="1:2" x14ac:dyDescent="0.2">
      <c r="A5309" t="str">
        <f>"FADD"</f>
        <v>FADD</v>
      </c>
      <c r="B5309" t="s">
        <v>3</v>
      </c>
    </row>
    <row r="5310" spans="1:2" x14ac:dyDescent="0.2">
      <c r="A5310" t="str">
        <f>"FADS1"</f>
        <v>FADS1</v>
      </c>
      <c r="B5310" t="s">
        <v>7</v>
      </c>
    </row>
    <row r="5311" spans="1:2" x14ac:dyDescent="0.2">
      <c r="A5311" t="str">
        <f>"FADS2"</f>
        <v>FADS2</v>
      </c>
      <c r="B5311" t="s">
        <v>7</v>
      </c>
    </row>
    <row r="5312" spans="1:2" x14ac:dyDescent="0.2">
      <c r="A5312" t="str">
        <f>"FADS3"</f>
        <v>FADS3</v>
      </c>
      <c r="B5312" t="s">
        <v>2</v>
      </c>
    </row>
    <row r="5313" spans="1:2" x14ac:dyDescent="0.2">
      <c r="A5313" t="str">
        <f>"FADS6"</f>
        <v>FADS6</v>
      </c>
      <c r="B5313" t="s">
        <v>5</v>
      </c>
    </row>
    <row r="5314" spans="1:2" x14ac:dyDescent="0.2">
      <c r="A5314" t="str">
        <f>"FAF1"</f>
        <v>FAF1</v>
      </c>
      <c r="B5314" t="s">
        <v>2</v>
      </c>
    </row>
    <row r="5315" spans="1:2" x14ac:dyDescent="0.2">
      <c r="A5315" t="str">
        <f>"FAF2"</f>
        <v>FAF2</v>
      </c>
      <c r="B5315" t="s">
        <v>2</v>
      </c>
    </row>
    <row r="5316" spans="1:2" x14ac:dyDescent="0.2">
      <c r="A5316" t="str">
        <f>"FAH"</f>
        <v>FAH</v>
      </c>
      <c r="B5316" t="s">
        <v>7</v>
      </c>
    </row>
    <row r="5317" spans="1:2" x14ac:dyDescent="0.2">
      <c r="A5317" t="str">
        <f>"FAHD1"</f>
        <v>FAHD1</v>
      </c>
      <c r="B5317" t="s">
        <v>6</v>
      </c>
    </row>
    <row r="5318" spans="1:2" x14ac:dyDescent="0.2">
      <c r="A5318" t="str">
        <f>"FAHD2A"</f>
        <v>FAHD2A</v>
      </c>
      <c r="B5318" t="s">
        <v>6</v>
      </c>
    </row>
    <row r="5319" spans="1:2" x14ac:dyDescent="0.2">
      <c r="A5319" t="str">
        <f>"FAHD2B"</f>
        <v>FAHD2B</v>
      </c>
      <c r="B5319" t="s">
        <v>6</v>
      </c>
    </row>
    <row r="5320" spans="1:2" x14ac:dyDescent="0.2">
      <c r="A5320" t="str">
        <f>"FAIM"</f>
        <v>FAIM</v>
      </c>
      <c r="B5320" t="s">
        <v>3</v>
      </c>
    </row>
    <row r="5321" spans="1:2" x14ac:dyDescent="0.2">
      <c r="A5321" t="str">
        <f>"FAIM2"</f>
        <v>FAIM2</v>
      </c>
      <c r="B5321" t="s">
        <v>3</v>
      </c>
    </row>
    <row r="5322" spans="1:2" x14ac:dyDescent="0.2">
      <c r="A5322" t="str">
        <f>"FAIM3"</f>
        <v>FAIM3</v>
      </c>
      <c r="B5322" t="s">
        <v>3</v>
      </c>
    </row>
    <row r="5323" spans="1:2" x14ac:dyDescent="0.2">
      <c r="A5323" t="str">
        <f>"FAM101A"</f>
        <v>FAM101A</v>
      </c>
      <c r="B5323" t="s">
        <v>4</v>
      </c>
    </row>
    <row r="5324" spans="1:2" x14ac:dyDescent="0.2">
      <c r="A5324" t="str">
        <f>"FAM101B"</f>
        <v>FAM101B</v>
      </c>
      <c r="B5324" t="s">
        <v>4</v>
      </c>
    </row>
    <row r="5325" spans="1:2" x14ac:dyDescent="0.2">
      <c r="A5325" t="str">
        <f>"FAM102A"</f>
        <v>FAM102A</v>
      </c>
      <c r="B5325" t="s">
        <v>2</v>
      </c>
    </row>
    <row r="5326" spans="1:2" x14ac:dyDescent="0.2">
      <c r="A5326" t="str">
        <f>"FAM102B"</f>
        <v>FAM102B</v>
      </c>
      <c r="B5326" t="s">
        <v>4</v>
      </c>
    </row>
    <row r="5327" spans="1:2" x14ac:dyDescent="0.2">
      <c r="A5327" t="str">
        <f>"FAM103A1"</f>
        <v>FAM103A1</v>
      </c>
      <c r="B5327" t="s">
        <v>4</v>
      </c>
    </row>
    <row r="5328" spans="1:2" x14ac:dyDescent="0.2">
      <c r="A5328" t="str">
        <f>"FAM104A"</f>
        <v>FAM104A</v>
      </c>
      <c r="B5328" t="s">
        <v>4</v>
      </c>
    </row>
    <row r="5329" spans="1:2" x14ac:dyDescent="0.2">
      <c r="A5329" t="str">
        <f>"FAM104B"</f>
        <v>FAM104B</v>
      </c>
      <c r="B5329" t="s">
        <v>4</v>
      </c>
    </row>
    <row r="5330" spans="1:2" x14ac:dyDescent="0.2">
      <c r="A5330" t="str">
        <f>"FAM105A"</f>
        <v>FAM105A</v>
      </c>
      <c r="B5330" t="s">
        <v>5</v>
      </c>
    </row>
    <row r="5331" spans="1:2" x14ac:dyDescent="0.2">
      <c r="A5331" t="str">
        <f>"FAM105B"</f>
        <v>FAM105B</v>
      </c>
      <c r="B5331" t="s">
        <v>4</v>
      </c>
    </row>
    <row r="5332" spans="1:2" x14ac:dyDescent="0.2">
      <c r="A5332" t="str">
        <f>"FAM107A"</f>
        <v>FAM107A</v>
      </c>
      <c r="B5332" t="s">
        <v>4</v>
      </c>
    </row>
    <row r="5333" spans="1:2" x14ac:dyDescent="0.2">
      <c r="A5333" t="str">
        <f>"FAM107B"</f>
        <v>FAM107B</v>
      </c>
      <c r="B5333" t="s">
        <v>4</v>
      </c>
    </row>
    <row r="5334" spans="1:2" x14ac:dyDescent="0.2">
      <c r="A5334" t="str">
        <f>"FAM109A"</f>
        <v>FAM109A</v>
      </c>
      <c r="B5334" t="s">
        <v>5</v>
      </c>
    </row>
    <row r="5335" spans="1:2" x14ac:dyDescent="0.2">
      <c r="A5335" t="str">
        <f>"FAM109B"</f>
        <v>FAM109B</v>
      </c>
      <c r="B5335" t="s">
        <v>4</v>
      </c>
    </row>
    <row r="5336" spans="1:2" x14ac:dyDescent="0.2">
      <c r="A5336" t="str">
        <f>"FAM110A"</f>
        <v>FAM110A</v>
      </c>
      <c r="B5336" t="s">
        <v>3</v>
      </c>
    </row>
    <row r="5337" spans="1:2" x14ac:dyDescent="0.2">
      <c r="A5337" t="str">
        <f>"FAM110B"</f>
        <v>FAM110B</v>
      </c>
      <c r="B5337" t="s">
        <v>3</v>
      </c>
    </row>
    <row r="5338" spans="1:2" x14ac:dyDescent="0.2">
      <c r="A5338" t="str">
        <f>"FAM110C"</f>
        <v>FAM110C</v>
      </c>
      <c r="B5338" t="s">
        <v>3</v>
      </c>
    </row>
    <row r="5339" spans="1:2" x14ac:dyDescent="0.2">
      <c r="A5339" t="str">
        <f>"FAM110D"</f>
        <v>FAM110D</v>
      </c>
      <c r="B5339" t="s">
        <v>4</v>
      </c>
    </row>
    <row r="5340" spans="1:2" x14ac:dyDescent="0.2">
      <c r="A5340" t="str">
        <f>"FAM111A"</f>
        <v>FAM111A</v>
      </c>
      <c r="B5340" t="s">
        <v>4</v>
      </c>
    </row>
    <row r="5341" spans="1:2" x14ac:dyDescent="0.2">
      <c r="A5341" t="str">
        <f>"FAM111B"</f>
        <v>FAM111B</v>
      </c>
      <c r="B5341" t="s">
        <v>4</v>
      </c>
    </row>
    <row r="5342" spans="1:2" x14ac:dyDescent="0.2">
      <c r="A5342" t="str">
        <f>"FAM114A1"</f>
        <v>FAM114A1</v>
      </c>
      <c r="B5342" t="s">
        <v>4</v>
      </c>
    </row>
    <row r="5343" spans="1:2" x14ac:dyDescent="0.2">
      <c r="A5343" t="str">
        <f>"FAM114A2"</f>
        <v>FAM114A2</v>
      </c>
      <c r="B5343" t="s">
        <v>4</v>
      </c>
    </row>
    <row r="5344" spans="1:2" x14ac:dyDescent="0.2">
      <c r="A5344" t="str">
        <f>"FAM115A"</f>
        <v>FAM115A</v>
      </c>
      <c r="B5344" t="s">
        <v>4</v>
      </c>
    </row>
    <row r="5345" spans="1:2" x14ac:dyDescent="0.2">
      <c r="A5345" t="str">
        <f>"FAM115C"</f>
        <v>FAM115C</v>
      </c>
      <c r="B5345" t="s">
        <v>4</v>
      </c>
    </row>
    <row r="5346" spans="1:2" x14ac:dyDescent="0.2">
      <c r="A5346" t="str">
        <f>"FAM117A"</f>
        <v>FAM117A</v>
      </c>
      <c r="B5346" t="s">
        <v>4</v>
      </c>
    </row>
    <row r="5347" spans="1:2" x14ac:dyDescent="0.2">
      <c r="A5347" t="str">
        <f>"FAM117B"</f>
        <v>FAM117B</v>
      </c>
      <c r="B5347" t="s">
        <v>4</v>
      </c>
    </row>
    <row r="5348" spans="1:2" x14ac:dyDescent="0.2">
      <c r="A5348" t="str">
        <f>"FAM118A"</f>
        <v>FAM118A</v>
      </c>
      <c r="B5348" t="s">
        <v>3</v>
      </c>
    </row>
    <row r="5349" spans="1:2" x14ac:dyDescent="0.2">
      <c r="A5349" t="str">
        <f>"FAM118B"</f>
        <v>FAM118B</v>
      </c>
      <c r="B5349" t="s">
        <v>4</v>
      </c>
    </row>
    <row r="5350" spans="1:2" x14ac:dyDescent="0.2">
      <c r="A5350" t="str">
        <f>"FAM120A"</f>
        <v>FAM120A</v>
      </c>
      <c r="B5350" t="s">
        <v>2</v>
      </c>
    </row>
    <row r="5351" spans="1:2" x14ac:dyDescent="0.2">
      <c r="A5351" t="str">
        <f>"FAM120AOS"</f>
        <v>FAM120AOS</v>
      </c>
      <c r="B5351" t="s">
        <v>4</v>
      </c>
    </row>
    <row r="5352" spans="1:2" x14ac:dyDescent="0.2">
      <c r="A5352" t="str">
        <f>"FAM120B"</f>
        <v>FAM120B</v>
      </c>
      <c r="B5352" t="s">
        <v>4</v>
      </c>
    </row>
    <row r="5353" spans="1:2" x14ac:dyDescent="0.2">
      <c r="A5353" t="str">
        <f>"FAM120C"</f>
        <v>FAM120C</v>
      </c>
      <c r="B5353" t="s">
        <v>4</v>
      </c>
    </row>
    <row r="5354" spans="1:2" x14ac:dyDescent="0.2">
      <c r="A5354" t="str">
        <f>"FAM122A"</f>
        <v>FAM122A</v>
      </c>
      <c r="B5354" t="s">
        <v>4</v>
      </c>
    </row>
    <row r="5355" spans="1:2" x14ac:dyDescent="0.2">
      <c r="A5355" t="str">
        <f>"FAM122B"</f>
        <v>FAM122B</v>
      </c>
      <c r="B5355" t="s">
        <v>4</v>
      </c>
    </row>
    <row r="5356" spans="1:2" x14ac:dyDescent="0.2">
      <c r="A5356" t="str">
        <f>"FAM122C"</f>
        <v>FAM122C</v>
      </c>
      <c r="B5356" t="s">
        <v>5</v>
      </c>
    </row>
    <row r="5357" spans="1:2" x14ac:dyDescent="0.2">
      <c r="A5357" t="str">
        <f>"FAM124A"</f>
        <v>FAM124A</v>
      </c>
      <c r="B5357" t="s">
        <v>4</v>
      </c>
    </row>
    <row r="5358" spans="1:2" x14ac:dyDescent="0.2">
      <c r="A5358" t="str">
        <f>"FAM124B"</f>
        <v>FAM124B</v>
      </c>
      <c r="B5358" t="s">
        <v>4</v>
      </c>
    </row>
    <row r="5359" spans="1:2" x14ac:dyDescent="0.2">
      <c r="A5359" t="str">
        <f>"FAM126A"</f>
        <v>FAM126A</v>
      </c>
      <c r="B5359" t="s">
        <v>4</v>
      </c>
    </row>
    <row r="5360" spans="1:2" x14ac:dyDescent="0.2">
      <c r="A5360" t="str">
        <f>"FAM126B"</f>
        <v>FAM126B</v>
      </c>
      <c r="B5360" t="s">
        <v>4</v>
      </c>
    </row>
    <row r="5361" spans="1:2" x14ac:dyDescent="0.2">
      <c r="A5361" t="str">
        <f>"FAM127A"</f>
        <v>FAM127A</v>
      </c>
      <c r="B5361" t="s">
        <v>4</v>
      </c>
    </row>
    <row r="5362" spans="1:2" x14ac:dyDescent="0.2">
      <c r="A5362" t="str">
        <f>"FAM127B"</f>
        <v>FAM127B</v>
      </c>
      <c r="B5362" t="s">
        <v>4</v>
      </c>
    </row>
    <row r="5363" spans="1:2" x14ac:dyDescent="0.2">
      <c r="A5363" t="str">
        <f>"FAM127C"</f>
        <v>FAM127C</v>
      </c>
      <c r="B5363" t="s">
        <v>3</v>
      </c>
    </row>
    <row r="5364" spans="1:2" x14ac:dyDescent="0.2">
      <c r="A5364" t="str">
        <f>"FAM129A"</f>
        <v>FAM129A</v>
      </c>
      <c r="B5364" t="s">
        <v>2</v>
      </c>
    </row>
    <row r="5365" spans="1:2" x14ac:dyDescent="0.2">
      <c r="A5365" t="str">
        <f>"FAM129B"</f>
        <v>FAM129B</v>
      </c>
      <c r="B5365" t="s">
        <v>4</v>
      </c>
    </row>
    <row r="5366" spans="1:2" x14ac:dyDescent="0.2">
      <c r="A5366" t="str">
        <f>"FAM129C"</f>
        <v>FAM129C</v>
      </c>
      <c r="B5366" t="s">
        <v>4</v>
      </c>
    </row>
    <row r="5367" spans="1:2" x14ac:dyDescent="0.2">
      <c r="A5367" t="str">
        <f>"FAM131A"</f>
        <v>FAM131A</v>
      </c>
      <c r="B5367" t="s">
        <v>4</v>
      </c>
    </row>
    <row r="5368" spans="1:2" x14ac:dyDescent="0.2">
      <c r="A5368" t="str">
        <f>"FAM131B"</f>
        <v>FAM131B</v>
      </c>
      <c r="B5368" t="s">
        <v>4</v>
      </c>
    </row>
    <row r="5369" spans="1:2" x14ac:dyDescent="0.2">
      <c r="A5369" t="str">
        <f>"FAM131C"</f>
        <v>FAM131C</v>
      </c>
      <c r="B5369" t="s">
        <v>2</v>
      </c>
    </row>
    <row r="5370" spans="1:2" x14ac:dyDescent="0.2">
      <c r="A5370" t="str">
        <f>"FAM132A"</f>
        <v>FAM132A</v>
      </c>
      <c r="B5370" t="s">
        <v>2</v>
      </c>
    </row>
    <row r="5371" spans="1:2" x14ac:dyDescent="0.2">
      <c r="A5371" t="str">
        <f>"FAM132B"</f>
        <v>FAM132B</v>
      </c>
      <c r="B5371" t="s">
        <v>4</v>
      </c>
    </row>
    <row r="5372" spans="1:2" x14ac:dyDescent="0.2">
      <c r="A5372" t="str">
        <f>"FAM133A"</f>
        <v>FAM133A</v>
      </c>
      <c r="B5372" t="s">
        <v>4</v>
      </c>
    </row>
    <row r="5373" spans="1:2" x14ac:dyDescent="0.2">
      <c r="A5373" t="str">
        <f>"FAM133B"</f>
        <v>FAM133B</v>
      </c>
      <c r="B5373" t="s">
        <v>4</v>
      </c>
    </row>
    <row r="5374" spans="1:2" x14ac:dyDescent="0.2">
      <c r="A5374" t="str">
        <f>"FAM134A"</f>
        <v>FAM134A</v>
      </c>
      <c r="B5374" t="s">
        <v>5</v>
      </c>
    </row>
    <row r="5375" spans="1:2" x14ac:dyDescent="0.2">
      <c r="A5375" t="str">
        <f>"FAM134B"</f>
        <v>FAM134B</v>
      </c>
      <c r="B5375" t="s">
        <v>5</v>
      </c>
    </row>
    <row r="5376" spans="1:2" x14ac:dyDescent="0.2">
      <c r="A5376" t="str">
        <f>"FAM134C"</f>
        <v>FAM134C</v>
      </c>
      <c r="B5376" t="s">
        <v>5</v>
      </c>
    </row>
    <row r="5377" spans="1:2" x14ac:dyDescent="0.2">
      <c r="A5377" t="str">
        <f>"FAM135A"</f>
        <v>FAM135A</v>
      </c>
      <c r="B5377" t="s">
        <v>4</v>
      </c>
    </row>
    <row r="5378" spans="1:2" x14ac:dyDescent="0.2">
      <c r="A5378" t="str">
        <f>"FAM135B"</f>
        <v>FAM135B</v>
      </c>
      <c r="B5378" t="s">
        <v>4</v>
      </c>
    </row>
    <row r="5379" spans="1:2" x14ac:dyDescent="0.2">
      <c r="A5379" t="str">
        <f>"FAM136A"</f>
        <v>FAM136A</v>
      </c>
      <c r="B5379" t="s">
        <v>6</v>
      </c>
    </row>
    <row r="5380" spans="1:2" x14ac:dyDescent="0.2">
      <c r="A5380" t="str">
        <f>"FAM13A"</f>
        <v>FAM13A</v>
      </c>
      <c r="B5380" t="s">
        <v>4</v>
      </c>
    </row>
    <row r="5381" spans="1:2" x14ac:dyDescent="0.2">
      <c r="A5381" t="str">
        <f>"FAM13B"</f>
        <v>FAM13B</v>
      </c>
      <c r="B5381" t="s">
        <v>4</v>
      </c>
    </row>
    <row r="5382" spans="1:2" x14ac:dyDescent="0.2">
      <c r="A5382" t="str">
        <f>"FAM13C"</f>
        <v>FAM13C</v>
      </c>
      <c r="B5382" t="s">
        <v>4</v>
      </c>
    </row>
    <row r="5383" spans="1:2" x14ac:dyDescent="0.2">
      <c r="A5383" t="str">
        <f>"FAM149A"</f>
        <v>FAM149A</v>
      </c>
      <c r="B5383" t="s">
        <v>4</v>
      </c>
    </row>
    <row r="5384" spans="1:2" x14ac:dyDescent="0.2">
      <c r="A5384" t="str">
        <f>"FAM149B1"</f>
        <v>FAM149B1</v>
      </c>
      <c r="B5384" t="s">
        <v>4</v>
      </c>
    </row>
    <row r="5385" spans="1:2" x14ac:dyDescent="0.2">
      <c r="A5385" t="str">
        <f>"FAM150A"</f>
        <v>FAM150A</v>
      </c>
      <c r="B5385" t="s">
        <v>4</v>
      </c>
    </row>
    <row r="5386" spans="1:2" x14ac:dyDescent="0.2">
      <c r="A5386" t="str">
        <f>"FAM150B"</f>
        <v>FAM150B</v>
      </c>
      <c r="B5386" t="s">
        <v>4</v>
      </c>
    </row>
    <row r="5387" spans="1:2" x14ac:dyDescent="0.2">
      <c r="A5387" t="str">
        <f>"FAM151A"</f>
        <v>FAM151A</v>
      </c>
      <c r="B5387" t="s">
        <v>5</v>
      </c>
    </row>
    <row r="5388" spans="1:2" x14ac:dyDescent="0.2">
      <c r="A5388" t="str">
        <f>"FAM151B"</f>
        <v>FAM151B</v>
      </c>
      <c r="B5388" t="s">
        <v>4</v>
      </c>
    </row>
    <row r="5389" spans="1:2" x14ac:dyDescent="0.2">
      <c r="A5389" t="str">
        <f>"FAM153A"</f>
        <v>FAM153A</v>
      </c>
      <c r="B5389" t="s">
        <v>8</v>
      </c>
    </row>
    <row r="5390" spans="1:2" x14ac:dyDescent="0.2">
      <c r="A5390" t="str">
        <f>"FAM153B"</f>
        <v>FAM153B</v>
      </c>
      <c r="B5390" t="s">
        <v>8</v>
      </c>
    </row>
    <row r="5391" spans="1:2" x14ac:dyDescent="0.2">
      <c r="A5391" t="str">
        <f>"FAM154A"</f>
        <v>FAM154A</v>
      </c>
      <c r="B5391" t="s">
        <v>4</v>
      </c>
    </row>
    <row r="5392" spans="1:2" x14ac:dyDescent="0.2">
      <c r="A5392" t="str">
        <f>"FAM154B"</f>
        <v>FAM154B</v>
      </c>
      <c r="B5392" t="s">
        <v>4</v>
      </c>
    </row>
    <row r="5393" spans="1:2" x14ac:dyDescent="0.2">
      <c r="A5393" t="str">
        <f>"FAM155A"</f>
        <v>FAM155A</v>
      </c>
      <c r="B5393" t="s">
        <v>5</v>
      </c>
    </row>
    <row r="5394" spans="1:2" x14ac:dyDescent="0.2">
      <c r="A5394" t="str">
        <f>"FAM155B"</f>
        <v>FAM155B</v>
      </c>
      <c r="B5394" t="s">
        <v>5</v>
      </c>
    </row>
    <row r="5395" spans="1:2" x14ac:dyDescent="0.2">
      <c r="A5395" t="str">
        <f>"FAM156A"</f>
        <v>FAM156A</v>
      </c>
      <c r="B5395" t="s">
        <v>4</v>
      </c>
    </row>
    <row r="5396" spans="1:2" x14ac:dyDescent="0.2">
      <c r="A5396" t="str">
        <f>"FAM156B"</f>
        <v>FAM156B</v>
      </c>
      <c r="B5396" t="s">
        <v>4</v>
      </c>
    </row>
    <row r="5397" spans="1:2" x14ac:dyDescent="0.2">
      <c r="A5397" t="str">
        <f>"FAM157A"</f>
        <v>FAM157A</v>
      </c>
      <c r="B5397" t="s">
        <v>4</v>
      </c>
    </row>
    <row r="5398" spans="1:2" x14ac:dyDescent="0.2">
      <c r="A5398" t="str">
        <f>"FAM157B"</f>
        <v>FAM157B</v>
      </c>
      <c r="B5398" t="s">
        <v>4</v>
      </c>
    </row>
    <row r="5399" spans="1:2" x14ac:dyDescent="0.2">
      <c r="A5399" t="str">
        <f>"FAM159A"</f>
        <v>FAM159A</v>
      </c>
      <c r="B5399" t="s">
        <v>2</v>
      </c>
    </row>
    <row r="5400" spans="1:2" x14ac:dyDescent="0.2">
      <c r="A5400" t="str">
        <f>"FAM159B"</f>
        <v>FAM159B</v>
      </c>
      <c r="B5400" t="s">
        <v>5</v>
      </c>
    </row>
    <row r="5401" spans="1:2" x14ac:dyDescent="0.2">
      <c r="A5401" t="str">
        <f>"FAM160A1"</f>
        <v>FAM160A1</v>
      </c>
      <c r="B5401" t="s">
        <v>4</v>
      </c>
    </row>
    <row r="5402" spans="1:2" x14ac:dyDescent="0.2">
      <c r="A5402" t="str">
        <f>"FAM160A2"</f>
        <v>FAM160A2</v>
      </c>
      <c r="B5402" t="s">
        <v>4</v>
      </c>
    </row>
    <row r="5403" spans="1:2" x14ac:dyDescent="0.2">
      <c r="A5403" t="str">
        <f>"FAM160B1"</f>
        <v>FAM160B1</v>
      </c>
      <c r="B5403" t="s">
        <v>4</v>
      </c>
    </row>
    <row r="5404" spans="1:2" x14ac:dyDescent="0.2">
      <c r="A5404" t="str">
        <f>"FAM160B2"</f>
        <v>FAM160B2</v>
      </c>
      <c r="B5404" t="s">
        <v>4</v>
      </c>
    </row>
    <row r="5405" spans="1:2" x14ac:dyDescent="0.2">
      <c r="A5405" t="str">
        <f>"FAM161A"</f>
        <v>FAM161A</v>
      </c>
      <c r="B5405" t="s">
        <v>3</v>
      </c>
    </row>
    <row r="5406" spans="1:2" x14ac:dyDescent="0.2">
      <c r="A5406" t="str">
        <f>"FAM161B"</f>
        <v>FAM161B</v>
      </c>
      <c r="B5406" t="s">
        <v>3</v>
      </c>
    </row>
    <row r="5407" spans="1:2" x14ac:dyDescent="0.2">
      <c r="A5407" t="str">
        <f>"FAM162A"</f>
        <v>FAM162A</v>
      </c>
      <c r="B5407" t="s">
        <v>6</v>
      </c>
    </row>
    <row r="5408" spans="1:2" x14ac:dyDescent="0.2">
      <c r="A5408" t="str">
        <f>"FAM162B"</f>
        <v>FAM162B</v>
      </c>
      <c r="B5408" t="s">
        <v>5</v>
      </c>
    </row>
    <row r="5409" spans="1:2" x14ac:dyDescent="0.2">
      <c r="A5409" t="str">
        <f>"FAM163A"</f>
        <v>FAM163A</v>
      </c>
      <c r="B5409" t="s">
        <v>5</v>
      </c>
    </row>
    <row r="5410" spans="1:2" x14ac:dyDescent="0.2">
      <c r="A5410" t="str">
        <f>"FAM163B"</f>
        <v>FAM163B</v>
      </c>
      <c r="B5410" t="s">
        <v>5</v>
      </c>
    </row>
    <row r="5411" spans="1:2" x14ac:dyDescent="0.2">
      <c r="A5411" t="str">
        <f>"FAM166A"</f>
        <v>FAM166A</v>
      </c>
      <c r="B5411" t="s">
        <v>4</v>
      </c>
    </row>
    <row r="5412" spans="1:2" x14ac:dyDescent="0.2">
      <c r="A5412" t="str">
        <f>"FAM166B"</f>
        <v>FAM166B</v>
      </c>
      <c r="B5412" t="s">
        <v>4</v>
      </c>
    </row>
    <row r="5413" spans="1:2" x14ac:dyDescent="0.2">
      <c r="A5413" t="str">
        <f>"FAM167A"</f>
        <v>FAM167A</v>
      </c>
      <c r="B5413" t="s">
        <v>4</v>
      </c>
    </row>
    <row r="5414" spans="1:2" x14ac:dyDescent="0.2">
      <c r="A5414" t="str">
        <f>"FAM167B"</f>
        <v>FAM167B</v>
      </c>
      <c r="B5414" t="s">
        <v>4</v>
      </c>
    </row>
    <row r="5415" spans="1:2" x14ac:dyDescent="0.2">
      <c r="A5415" t="str">
        <f>"FAM168A"</f>
        <v>FAM168A</v>
      </c>
      <c r="B5415" t="s">
        <v>4</v>
      </c>
    </row>
    <row r="5416" spans="1:2" x14ac:dyDescent="0.2">
      <c r="A5416" t="str">
        <f>"FAM168B"</f>
        <v>FAM168B</v>
      </c>
      <c r="B5416" t="s">
        <v>4</v>
      </c>
    </row>
    <row r="5417" spans="1:2" x14ac:dyDescent="0.2">
      <c r="A5417" t="str">
        <f>"FAM169A"</f>
        <v>FAM169A</v>
      </c>
      <c r="B5417" t="s">
        <v>4</v>
      </c>
    </row>
    <row r="5418" spans="1:2" x14ac:dyDescent="0.2">
      <c r="A5418" t="str">
        <f>"FAM169B"</f>
        <v>FAM169B</v>
      </c>
      <c r="B5418" t="s">
        <v>4</v>
      </c>
    </row>
    <row r="5419" spans="1:2" x14ac:dyDescent="0.2">
      <c r="A5419" t="str">
        <f>"FAM170A"</f>
        <v>FAM170A</v>
      </c>
      <c r="B5419" t="s">
        <v>8</v>
      </c>
    </row>
    <row r="5420" spans="1:2" x14ac:dyDescent="0.2">
      <c r="A5420" t="str">
        <f>"FAM170B"</f>
        <v>FAM170B</v>
      </c>
      <c r="B5420" t="s">
        <v>4</v>
      </c>
    </row>
    <row r="5421" spans="1:2" x14ac:dyDescent="0.2">
      <c r="A5421" t="str">
        <f>"FAM171A1"</f>
        <v>FAM171A1</v>
      </c>
      <c r="B5421" t="s">
        <v>5</v>
      </c>
    </row>
    <row r="5422" spans="1:2" x14ac:dyDescent="0.2">
      <c r="A5422" t="str">
        <f>"FAM171A2"</f>
        <v>FAM171A2</v>
      </c>
      <c r="B5422" t="s">
        <v>8</v>
      </c>
    </row>
    <row r="5423" spans="1:2" x14ac:dyDescent="0.2">
      <c r="A5423" t="str">
        <f>"FAM171B"</f>
        <v>FAM171B</v>
      </c>
      <c r="B5423" t="s">
        <v>3</v>
      </c>
    </row>
    <row r="5424" spans="1:2" x14ac:dyDescent="0.2">
      <c r="A5424" t="str">
        <f>"FAM172A"</f>
        <v>FAM172A</v>
      </c>
      <c r="B5424" t="s">
        <v>6</v>
      </c>
    </row>
    <row r="5425" spans="1:2" x14ac:dyDescent="0.2">
      <c r="A5425" t="str">
        <f>"FAM173A"</f>
        <v>FAM173A</v>
      </c>
      <c r="B5425" t="s">
        <v>5</v>
      </c>
    </row>
    <row r="5426" spans="1:2" x14ac:dyDescent="0.2">
      <c r="A5426" t="str">
        <f>"FAM173B"</f>
        <v>FAM173B</v>
      </c>
      <c r="B5426" t="s">
        <v>5</v>
      </c>
    </row>
    <row r="5427" spans="1:2" x14ac:dyDescent="0.2">
      <c r="A5427" t="str">
        <f>"FAM174A"</f>
        <v>FAM174A</v>
      </c>
      <c r="B5427" t="s">
        <v>5</v>
      </c>
    </row>
    <row r="5428" spans="1:2" x14ac:dyDescent="0.2">
      <c r="A5428" t="str">
        <f>"FAM174B"</f>
        <v>FAM174B</v>
      </c>
      <c r="B5428" t="s">
        <v>5</v>
      </c>
    </row>
    <row r="5429" spans="1:2" x14ac:dyDescent="0.2">
      <c r="A5429" t="str">
        <f>"FAM175A"</f>
        <v>FAM175A</v>
      </c>
      <c r="B5429" t="s">
        <v>4</v>
      </c>
    </row>
    <row r="5430" spans="1:2" x14ac:dyDescent="0.2">
      <c r="A5430" t="str">
        <f>"FAM175B"</f>
        <v>FAM175B</v>
      </c>
      <c r="B5430" t="s">
        <v>3</v>
      </c>
    </row>
    <row r="5431" spans="1:2" x14ac:dyDescent="0.2">
      <c r="A5431" t="str">
        <f>"FAM177A1"</f>
        <v>FAM177A1</v>
      </c>
      <c r="B5431" t="s">
        <v>4</v>
      </c>
    </row>
    <row r="5432" spans="1:2" x14ac:dyDescent="0.2">
      <c r="A5432" t="str">
        <f>"FAM177B"</f>
        <v>FAM177B</v>
      </c>
      <c r="B5432" t="s">
        <v>4</v>
      </c>
    </row>
    <row r="5433" spans="1:2" x14ac:dyDescent="0.2">
      <c r="A5433" t="str">
        <f>"FAM178A"</f>
        <v>FAM178A</v>
      </c>
      <c r="B5433" t="s">
        <v>4</v>
      </c>
    </row>
    <row r="5434" spans="1:2" x14ac:dyDescent="0.2">
      <c r="A5434" t="str">
        <f>"FAM178B"</f>
        <v>FAM178B</v>
      </c>
      <c r="B5434" t="s">
        <v>4</v>
      </c>
    </row>
    <row r="5435" spans="1:2" x14ac:dyDescent="0.2">
      <c r="A5435" t="str">
        <f>"FAM179A"</f>
        <v>FAM179A</v>
      </c>
      <c r="B5435" t="s">
        <v>4</v>
      </c>
    </row>
    <row r="5436" spans="1:2" x14ac:dyDescent="0.2">
      <c r="A5436" t="str">
        <f>"FAM179B"</f>
        <v>FAM179B</v>
      </c>
      <c r="B5436" t="s">
        <v>4</v>
      </c>
    </row>
    <row r="5437" spans="1:2" x14ac:dyDescent="0.2">
      <c r="A5437" t="str">
        <f>"FAM180A"</f>
        <v>FAM180A</v>
      </c>
      <c r="B5437" t="s">
        <v>4</v>
      </c>
    </row>
    <row r="5438" spans="1:2" x14ac:dyDescent="0.2">
      <c r="A5438" t="str">
        <f>"FAM180B"</f>
        <v>FAM180B</v>
      </c>
      <c r="B5438" t="s">
        <v>5</v>
      </c>
    </row>
    <row r="5439" spans="1:2" x14ac:dyDescent="0.2">
      <c r="A5439" t="str">
        <f>"FAM181A"</f>
        <v>FAM181A</v>
      </c>
      <c r="B5439" t="s">
        <v>4</v>
      </c>
    </row>
    <row r="5440" spans="1:2" x14ac:dyDescent="0.2">
      <c r="A5440" t="str">
        <f>"FAM181B"</f>
        <v>FAM181B</v>
      </c>
      <c r="B5440" t="s">
        <v>4</v>
      </c>
    </row>
    <row r="5441" spans="1:2" x14ac:dyDescent="0.2">
      <c r="A5441" t="str">
        <f>"FAM183A"</f>
        <v>FAM183A</v>
      </c>
      <c r="B5441" t="s">
        <v>4</v>
      </c>
    </row>
    <row r="5442" spans="1:2" x14ac:dyDescent="0.2">
      <c r="A5442" t="str">
        <f>"FAM184A"</f>
        <v>FAM184A</v>
      </c>
      <c r="B5442" t="s">
        <v>3</v>
      </c>
    </row>
    <row r="5443" spans="1:2" x14ac:dyDescent="0.2">
      <c r="A5443" t="str">
        <f>"FAM184B"</f>
        <v>FAM184B</v>
      </c>
      <c r="B5443" t="s">
        <v>4</v>
      </c>
    </row>
    <row r="5444" spans="1:2" x14ac:dyDescent="0.2">
      <c r="A5444" t="str">
        <f>"FAM185A"</f>
        <v>FAM185A</v>
      </c>
      <c r="B5444" t="s">
        <v>4</v>
      </c>
    </row>
    <row r="5445" spans="1:2" x14ac:dyDescent="0.2">
      <c r="A5445" t="str">
        <f>"FAM186A"</f>
        <v>FAM186A</v>
      </c>
      <c r="B5445" t="s">
        <v>4</v>
      </c>
    </row>
    <row r="5446" spans="1:2" x14ac:dyDescent="0.2">
      <c r="A5446" t="str">
        <f>"FAM186B"</f>
        <v>FAM186B</v>
      </c>
      <c r="B5446" t="s">
        <v>4</v>
      </c>
    </row>
    <row r="5447" spans="1:2" x14ac:dyDescent="0.2">
      <c r="A5447" t="str">
        <f>"FAM187A"</f>
        <v>FAM187A</v>
      </c>
      <c r="B5447" t="s">
        <v>4</v>
      </c>
    </row>
    <row r="5448" spans="1:2" x14ac:dyDescent="0.2">
      <c r="A5448" t="str">
        <f>"FAM187B"</f>
        <v>FAM187B</v>
      </c>
      <c r="B5448" t="s">
        <v>4</v>
      </c>
    </row>
    <row r="5449" spans="1:2" x14ac:dyDescent="0.2">
      <c r="A5449" t="str">
        <f>"FAM188A"</f>
        <v>FAM188A</v>
      </c>
      <c r="B5449" t="s">
        <v>4</v>
      </c>
    </row>
    <row r="5450" spans="1:2" x14ac:dyDescent="0.2">
      <c r="A5450" t="str">
        <f>"FAM188B"</f>
        <v>FAM188B</v>
      </c>
      <c r="B5450" t="s">
        <v>4</v>
      </c>
    </row>
    <row r="5451" spans="1:2" x14ac:dyDescent="0.2">
      <c r="A5451" t="str">
        <f>"FAM188B2"</f>
        <v>FAM188B2</v>
      </c>
      <c r="B5451" t="s">
        <v>4</v>
      </c>
    </row>
    <row r="5452" spans="1:2" x14ac:dyDescent="0.2">
      <c r="A5452" t="str">
        <f>"FAM189A1"</f>
        <v>FAM189A1</v>
      </c>
      <c r="B5452" t="s">
        <v>5</v>
      </c>
    </row>
    <row r="5453" spans="1:2" x14ac:dyDescent="0.2">
      <c r="A5453" t="str">
        <f>"FAM189A2"</f>
        <v>FAM189A2</v>
      </c>
      <c r="B5453" t="s">
        <v>8</v>
      </c>
    </row>
    <row r="5454" spans="1:2" x14ac:dyDescent="0.2">
      <c r="A5454" t="str">
        <f>"FAM189B"</f>
        <v>FAM189B</v>
      </c>
      <c r="B5454" t="s">
        <v>5</v>
      </c>
    </row>
    <row r="5455" spans="1:2" x14ac:dyDescent="0.2">
      <c r="A5455" t="str">
        <f>"FAM192A"</f>
        <v>FAM192A</v>
      </c>
      <c r="B5455" t="s">
        <v>2</v>
      </c>
    </row>
    <row r="5456" spans="1:2" x14ac:dyDescent="0.2">
      <c r="A5456" t="str">
        <f>"FAM193A"</f>
        <v>FAM193A</v>
      </c>
      <c r="B5456" t="s">
        <v>4</v>
      </c>
    </row>
    <row r="5457" spans="1:2" x14ac:dyDescent="0.2">
      <c r="A5457" t="str">
        <f>"FAM193B"</f>
        <v>FAM193B</v>
      </c>
      <c r="B5457" t="s">
        <v>3</v>
      </c>
    </row>
    <row r="5458" spans="1:2" x14ac:dyDescent="0.2">
      <c r="A5458" t="str">
        <f>"FAM194A"</f>
        <v>FAM194A</v>
      </c>
      <c r="B5458" t="s">
        <v>4</v>
      </c>
    </row>
    <row r="5459" spans="1:2" x14ac:dyDescent="0.2">
      <c r="A5459" t="str">
        <f>"FAM194B"</f>
        <v>FAM194B</v>
      </c>
      <c r="B5459" t="s">
        <v>4</v>
      </c>
    </row>
    <row r="5460" spans="1:2" x14ac:dyDescent="0.2">
      <c r="A5460" t="str">
        <f>"FAM195A"</f>
        <v>FAM195A</v>
      </c>
      <c r="B5460" t="s">
        <v>6</v>
      </c>
    </row>
    <row r="5461" spans="1:2" x14ac:dyDescent="0.2">
      <c r="A5461" t="str">
        <f>"FAM195B"</f>
        <v>FAM195B</v>
      </c>
      <c r="B5461" t="s">
        <v>4</v>
      </c>
    </row>
    <row r="5462" spans="1:2" x14ac:dyDescent="0.2">
      <c r="A5462" t="str">
        <f>"FAM196A"</f>
        <v>FAM196A</v>
      </c>
      <c r="B5462" t="s">
        <v>4</v>
      </c>
    </row>
    <row r="5463" spans="1:2" x14ac:dyDescent="0.2">
      <c r="A5463" t="str">
        <f>"FAM196B"</f>
        <v>FAM196B</v>
      </c>
      <c r="B5463" t="s">
        <v>4</v>
      </c>
    </row>
    <row r="5464" spans="1:2" x14ac:dyDescent="0.2">
      <c r="A5464" t="str">
        <f>"FAM197Y1"</f>
        <v>FAM197Y1</v>
      </c>
      <c r="B5464" t="s">
        <v>4</v>
      </c>
    </row>
    <row r="5465" spans="1:2" x14ac:dyDescent="0.2">
      <c r="A5465" t="str">
        <f>"FAM198A"</f>
        <v>FAM198A</v>
      </c>
      <c r="B5465" t="s">
        <v>4</v>
      </c>
    </row>
    <row r="5466" spans="1:2" x14ac:dyDescent="0.2">
      <c r="A5466" t="str">
        <f>"FAM198B"</f>
        <v>FAM198B</v>
      </c>
      <c r="B5466" t="s">
        <v>5</v>
      </c>
    </row>
    <row r="5467" spans="1:2" x14ac:dyDescent="0.2">
      <c r="A5467" t="str">
        <f>"FAM199X"</f>
        <v>FAM199X</v>
      </c>
      <c r="B5467" t="s">
        <v>4</v>
      </c>
    </row>
    <row r="5468" spans="1:2" x14ac:dyDescent="0.2">
      <c r="A5468" t="str">
        <f>"FAM19A1"</f>
        <v>FAM19A1</v>
      </c>
      <c r="B5468" t="s">
        <v>2</v>
      </c>
    </row>
    <row r="5469" spans="1:2" x14ac:dyDescent="0.2">
      <c r="A5469" t="str">
        <f>"FAM19A2"</f>
        <v>FAM19A2</v>
      </c>
      <c r="B5469" t="s">
        <v>5</v>
      </c>
    </row>
    <row r="5470" spans="1:2" x14ac:dyDescent="0.2">
      <c r="A5470" t="str">
        <f>"FAM19A3"</f>
        <v>FAM19A3</v>
      </c>
      <c r="B5470" t="s">
        <v>4</v>
      </c>
    </row>
    <row r="5471" spans="1:2" x14ac:dyDescent="0.2">
      <c r="A5471" t="str">
        <f>"FAM19A4"</f>
        <v>FAM19A4</v>
      </c>
      <c r="B5471" t="s">
        <v>4</v>
      </c>
    </row>
    <row r="5472" spans="1:2" x14ac:dyDescent="0.2">
      <c r="A5472" t="str">
        <f>"FAM19A5"</f>
        <v>FAM19A5</v>
      </c>
      <c r="B5472" t="s">
        <v>3</v>
      </c>
    </row>
    <row r="5473" spans="1:2" x14ac:dyDescent="0.2">
      <c r="A5473" t="str">
        <f>"FAM200A"</f>
        <v>FAM200A</v>
      </c>
      <c r="B5473" t="s">
        <v>5</v>
      </c>
    </row>
    <row r="5474" spans="1:2" x14ac:dyDescent="0.2">
      <c r="A5474" t="str">
        <f>"FAM200B"</f>
        <v>FAM200B</v>
      </c>
      <c r="B5474" t="s">
        <v>4</v>
      </c>
    </row>
    <row r="5475" spans="1:2" x14ac:dyDescent="0.2">
      <c r="A5475" t="str">
        <f>"FAM203A"</f>
        <v>FAM203A</v>
      </c>
      <c r="B5475" t="s">
        <v>8</v>
      </c>
    </row>
    <row r="5476" spans="1:2" x14ac:dyDescent="0.2">
      <c r="A5476" t="str">
        <f>"FAM203B"</f>
        <v>FAM203B</v>
      </c>
      <c r="B5476" t="s">
        <v>8</v>
      </c>
    </row>
    <row r="5477" spans="1:2" x14ac:dyDescent="0.2">
      <c r="A5477" t="str">
        <f>"FAM204A"</f>
        <v>FAM204A</v>
      </c>
      <c r="B5477" t="s">
        <v>4</v>
      </c>
    </row>
    <row r="5478" spans="1:2" x14ac:dyDescent="0.2">
      <c r="A5478" t="str">
        <f>"FAM205A"</f>
        <v>FAM205A</v>
      </c>
      <c r="B5478" t="s">
        <v>4</v>
      </c>
    </row>
    <row r="5479" spans="1:2" x14ac:dyDescent="0.2">
      <c r="A5479" t="str">
        <f>"FAM206A"</f>
        <v>FAM206A</v>
      </c>
      <c r="B5479" t="s">
        <v>4</v>
      </c>
    </row>
    <row r="5480" spans="1:2" x14ac:dyDescent="0.2">
      <c r="A5480" t="str">
        <f>"FAM207A"</f>
        <v>FAM207A</v>
      </c>
      <c r="B5480" t="s">
        <v>4</v>
      </c>
    </row>
    <row r="5481" spans="1:2" x14ac:dyDescent="0.2">
      <c r="A5481" t="str">
        <f>"FAM208A"</f>
        <v>FAM208A</v>
      </c>
      <c r="B5481" t="s">
        <v>4</v>
      </c>
    </row>
    <row r="5482" spans="1:2" x14ac:dyDescent="0.2">
      <c r="A5482" t="str">
        <f>"FAM208B"</f>
        <v>FAM208B</v>
      </c>
      <c r="B5482" t="s">
        <v>4</v>
      </c>
    </row>
    <row r="5483" spans="1:2" x14ac:dyDescent="0.2">
      <c r="A5483" t="str">
        <f>"FAM209A"</f>
        <v>FAM209A</v>
      </c>
      <c r="B5483" t="s">
        <v>5</v>
      </c>
    </row>
    <row r="5484" spans="1:2" x14ac:dyDescent="0.2">
      <c r="A5484" t="str">
        <f>"FAM209B"</f>
        <v>FAM209B</v>
      </c>
      <c r="B5484" t="s">
        <v>5</v>
      </c>
    </row>
    <row r="5485" spans="1:2" x14ac:dyDescent="0.2">
      <c r="A5485" t="str">
        <f>"FAM20A"</f>
        <v>FAM20A</v>
      </c>
      <c r="B5485" t="s">
        <v>6</v>
      </c>
    </row>
    <row r="5486" spans="1:2" x14ac:dyDescent="0.2">
      <c r="A5486" t="str">
        <f>"FAM20B"</f>
        <v>FAM20B</v>
      </c>
      <c r="B5486" t="s">
        <v>6</v>
      </c>
    </row>
    <row r="5487" spans="1:2" x14ac:dyDescent="0.2">
      <c r="A5487" t="str">
        <f>"FAM20C"</f>
        <v>FAM20C</v>
      </c>
      <c r="B5487" t="s">
        <v>6</v>
      </c>
    </row>
    <row r="5488" spans="1:2" x14ac:dyDescent="0.2">
      <c r="A5488" t="str">
        <f>"FAM210A"</f>
        <v>FAM210A</v>
      </c>
      <c r="B5488" t="s">
        <v>2</v>
      </c>
    </row>
    <row r="5489" spans="1:2" x14ac:dyDescent="0.2">
      <c r="A5489" t="str">
        <f>"FAM210B"</f>
        <v>FAM210B</v>
      </c>
      <c r="B5489" t="s">
        <v>5</v>
      </c>
    </row>
    <row r="5490" spans="1:2" x14ac:dyDescent="0.2">
      <c r="A5490" t="str">
        <f>"FAM211A"</f>
        <v>FAM211A</v>
      </c>
      <c r="B5490" t="s">
        <v>4</v>
      </c>
    </row>
    <row r="5491" spans="1:2" x14ac:dyDescent="0.2">
      <c r="A5491" t="str">
        <f>"FAM211B"</f>
        <v>FAM211B</v>
      </c>
      <c r="B5491" t="s">
        <v>4</v>
      </c>
    </row>
    <row r="5492" spans="1:2" x14ac:dyDescent="0.2">
      <c r="A5492" t="str">
        <f>"FAM212A"</f>
        <v>FAM212A</v>
      </c>
      <c r="B5492" t="s">
        <v>4</v>
      </c>
    </row>
    <row r="5493" spans="1:2" x14ac:dyDescent="0.2">
      <c r="A5493" t="str">
        <f>"FAM212B"</f>
        <v>FAM212B</v>
      </c>
      <c r="B5493" t="s">
        <v>4</v>
      </c>
    </row>
    <row r="5494" spans="1:2" x14ac:dyDescent="0.2">
      <c r="A5494" t="str">
        <f>"FAM213A"</f>
        <v>FAM213A</v>
      </c>
      <c r="B5494" t="s">
        <v>6</v>
      </c>
    </row>
    <row r="5495" spans="1:2" x14ac:dyDescent="0.2">
      <c r="A5495" t="str">
        <f>"FAM213B"</f>
        <v>FAM213B</v>
      </c>
      <c r="B5495" t="s">
        <v>4</v>
      </c>
    </row>
    <row r="5496" spans="1:2" x14ac:dyDescent="0.2">
      <c r="A5496" t="str">
        <f>"FAM214A"</f>
        <v>FAM214A</v>
      </c>
      <c r="B5496" t="s">
        <v>4</v>
      </c>
    </row>
    <row r="5497" spans="1:2" x14ac:dyDescent="0.2">
      <c r="A5497" t="str">
        <f>"FAM214B"</f>
        <v>FAM214B</v>
      </c>
      <c r="B5497" t="s">
        <v>4</v>
      </c>
    </row>
    <row r="5498" spans="1:2" x14ac:dyDescent="0.2">
      <c r="A5498" t="str">
        <f>"FAM216A"</f>
        <v>FAM216A</v>
      </c>
      <c r="B5498" t="s">
        <v>4</v>
      </c>
    </row>
    <row r="5499" spans="1:2" x14ac:dyDescent="0.2">
      <c r="A5499" t="str">
        <f>"FAM216B"</f>
        <v>FAM216B</v>
      </c>
      <c r="B5499" t="s">
        <v>4</v>
      </c>
    </row>
    <row r="5500" spans="1:2" x14ac:dyDescent="0.2">
      <c r="A5500" t="str">
        <f>"FAM217A"</f>
        <v>FAM217A</v>
      </c>
      <c r="B5500" t="s">
        <v>4</v>
      </c>
    </row>
    <row r="5501" spans="1:2" x14ac:dyDescent="0.2">
      <c r="A5501" t="str">
        <f>"FAM217B"</f>
        <v>FAM217B</v>
      </c>
      <c r="B5501" t="s">
        <v>4</v>
      </c>
    </row>
    <row r="5502" spans="1:2" x14ac:dyDescent="0.2">
      <c r="A5502" t="str">
        <f>"FAM218A"</f>
        <v>FAM218A</v>
      </c>
      <c r="B5502" t="s">
        <v>4</v>
      </c>
    </row>
    <row r="5503" spans="1:2" x14ac:dyDescent="0.2">
      <c r="A5503" t="str">
        <f>"FAM219A"</f>
        <v>FAM219A</v>
      </c>
      <c r="B5503" t="s">
        <v>4</v>
      </c>
    </row>
    <row r="5504" spans="1:2" x14ac:dyDescent="0.2">
      <c r="A5504" t="str">
        <f>"FAM219B"</f>
        <v>FAM219B</v>
      </c>
      <c r="B5504" t="s">
        <v>4</v>
      </c>
    </row>
    <row r="5505" spans="1:2" x14ac:dyDescent="0.2">
      <c r="A5505" t="str">
        <f>"FAM21A"</f>
        <v>FAM21A</v>
      </c>
      <c r="B5505" t="s">
        <v>4</v>
      </c>
    </row>
    <row r="5506" spans="1:2" x14ac:dyDescent="0.2">
      <c r="A5506" t="str">
        <f>"FAM21C"</f>
        <v>FAM21C</v>
      </c>
      <c r="B5506" t="s">
        <v>4</v>
      </c>
    </row>
    <row r="5507" spans="1:2" x14ac:dyDescent="0.2">
      <c r="A5507" t="str">
        <f>"FAM220A"</f>
        <v>FAM220A</v>
      </c>
      <c r="B5507" t="s">
        <v>3</v>
      </c>
    </row>
    <row r="5508" spans="1:2" x14ac:dyDescent="0.2">
      <c r="A5508" t="str">
        <f>"FAM221A"</f>
        <v>FAM221A</v>
      </c>
      <c r="B5508" t="s">
        <v>4</v>
      </c>
    </row>
    <row r="5509" spans="1:2" x14ac:dyDescent="0.2">
      <c r="A5509" t="str">
        <f>"FAM221B"</f>
        <v>FAM221B</v>
      </c>
      <c r="B5509" t="s">
        <v>4</v>
      </c>
    </row>
    <row r="5510" spans="1:2" x14ac:dyDescent="0.2">
      <c r="A5510" t="str">
        <f>"FAM222A"</f>
        <v>FAM222A</v>
      </c>
      <c r="B5510" t="s">
        <v>4</v>
      </c>
    </row>
    <row r="5511" spans="1:2" x14ac:dyDescent="0.2">
      <c r="A5511" t="str">
        <f>"FAM222B"</f>
        <v>FAM222B</v>
      </c>
      <c r="B5511" t="s">
        <v>4</v>
      </c>
    </row>
    <row r="5512" spans="1:2" x14ac:dyDescent="0.2">
      <c r="A5512" t="str">
        <f>"FAM227A"</f>
        <v>FAM227A</v>
      </c>
      <c r="B5512" t="s">
        <v>4</v>
      </c>
    </row>
    <row r="5513" spans="1:2" x14ac:dyDescent="0.2">
      <c r="A5513" t="str">
        <f>"FAM227B"</f>
        <v>FAM227B</v>
      </c>
      <c r="B5513" t="s">
        <v>4</v>
      </c>
    </row>
    <row r="5514" spans="1:2" x14ac:dyDescent="0.2">
      <c r="A5514" t="str">
        <f>"FAM228A"</f>
        <v>FAM228A</v>
      </c>
      <c r="B5514" t="s">
        <v>4</v>
      </c>
    </row>
    <row r="5515" spans="1:2" x14ac:dyDescent="0.2">
      <c r="A5515" t="str">
        <f>"FAM228B"</f>
        <v>FAM228B</v>
      </c>
      <c r="B5515" t="s">
        <v>4</v>
      </c>
    </row>
    <row r="5516" spans="1:2" x14ac:dyDescent="0.2">
      <c r="A5516" t="str">
        <f>"FAM229A"</f>
        <v>FAM229A</v>
      </c>
      <c r="B5516" t="s">
        <v>4</v>
      </c>
    </row>
    <row r="5517" spans="1:2" x14ac:dyDescent="0.2">
      <c r="A5517" t="str">
        <f>"FAM229B"</f>
        <v>FAM229B</v>
      </c>
      <c r="B5517" t="s">
        <v>4</v>
      </c>
    </row>
    <row r="5518" spans="1:2" x14ac:dyDescent="0.2">
      <c r="A5518" t="str">
        <f>"FAM24A"</f>
        <v>FAM24A</v>
      </c>
      <c r="B5518" t="s">
        <v>5</v>
      </c>
    </row>
    <row r="5519" spans="1:2" x14ac:dyDescent="0.2">
      <c r="A5519" t="str">
        <f>"FAM24B"</f>
        <v>FAM24B</v>
      </c>
      <c r="B5519" t="s">
        <v>5</v>
      </c>
    </row>
    <row r="5520" spans="1:2" x14ac:dyDescent="0.2">
      <c r="A5520" t="str">
        <f>"FAM25A"</f>
        <v>FAM25A</v>
      </c>
      <c r="B5520" t="s">
        <v>4</v>
      </c>
    </row>
    <row r="5521" spans="1:2" x14ac:dyDescent="0.2">
      <c r="A5521" t="str">
        <f>"FAM25E"</f>
        <v>FAM25E</v>
      </c>
      <c r="B5521" t="s">
        <v>4</v>
      </c>
    </row>
    <row r="5522" spans="1:2" x14ac:dyDescent="0.2">
      <c r="A5522" t="str">
        <f>"FAM26D"</f>
        <v>FAM26D</v>
      </c>
      <c r="B5522" t="s">
        <v>5</v>
      </c>
    </row>
    <row r="5523" spans="1:2" x14ac:dyDescent="0.2">
      <c r="A5523" t="str">
        <f>"FAM26E"</f>
        <v>FAM26E</v>
      </c>
      <c r="B5523" t="s">
        <v>5</v>
      </c>
    </row>
    <row r="5524" spans="1:2" x14ac:dyDescent="0.2">
      <c r="A5524" t="str">
        <f>"FAM26F"</f>
        <v>FAM26F</v>
      </c>
      <c r="B5524" t="s">
        <v>5</v>
      </c>
    </row>
    <row r="5525" spans="1:2" x14ac:dyDescent="0.2">
      <c r="A5525" t="str">
        <f>"FAM32A"</f>
        <v>FAM32A</v>
      </c>
      <c r="B5525" t="s">
        <v>8</v>
      </c>
    </row>
    <row r="5526" spans="1:2" x14ac:dyDescent="0.2">
      <c r="A5526" t="str">
        <f>"FAM35A"</f>
        <v>FAM35A</v>
      </c>
      <c r="B5526" t="s">
        <v>4</v>
      </c>
    </row>
    <row r="5527" spans="1:2" x14ac:dyDescent="0.2">
      <c r="A5527" t="str">
        <f>"FAM3A"</f>
        <v>FAM3A</v>
      </c>
      <c r="B5527" t="s">
        <v>5</v>
      </c>
    </row>
    <row r="5528" spans="1:2" x14ac:dyDescent="0.2">
      <c r="A5528" t="str">
        <f>"FAM3B"</f>
        <v>FAM3B</v>
      </c>
      <c r="B5528" t="s">
        <v>6</v>
      </c>
    </row>
    <row r="5529" spans="1:2" x14ac:dyDescent="0.2">
      <c r="A5529" t="str">
        <f>"FAM3C"</f>
        <v>FAM3C</v>
      </c>
      <c r="B5529" t="s">
        <v>2</v>
      </c>
    </row>
    <row r="5530" spans="1:2" x14ac:dyDescent="0.2">
      <c r="A5530" t="str">
        <f>"FAM3D"</f>
        <v>FAM3D</v>
      </c>
      <c r="B5530" t="s">
        <v>5</v>
      </c>
    </row>
    <row r="5531" spans="1:2" x14ac:dyDescent="0.2">
      <c r="A5531" t="str">
        <f>"FAM43A"</f>
        <v>FAM43A</v>
      </c>
      <c r="B5531" t="s">
        <v>4</v>
      </c>
    </row>
    <row r="5532" spans="1:2" x14ac:dyDescent="0.2">
      <c r="A5532" t="str">
        <f>"FAM43B"</f>
        <v>FAM43B</v>
      </c>
      <c r="B5532" t="s">
        <v>4</v>
      </c>
    </row>
    <row r="5533" spans="1:2" x14ac:dyDescent="0.2">
      <c r="A5533" t="str">
        <f>"FAM45A"</f>
        <v>FAM45A</v>
      </c>
      <c r="B5533" t="s">
        <v>2</v>
      </c>
    </row>
    <row r="5534" spans="1:2" x14ac:dyDescent="0.2">
      <c r="A5534" t="str">
        <f>"FAM46A"</f>
        <v>FAM46A</v>
      </c>
      <c r="B5534" t="s">
        <v>4</v>
      </c>
    </row>
    <row r="5535" spans="1:2" x14ac:dyDescent="0.2">
      <c r="A5535" t="str">
        <f>"FAM46B"</f>
        <v>FAM46B</v>
      </c>
      <c r="B5535" t="s">
        <v>4</v>
      </c>
    </row>
    <row r="5536" spans="1:2" x14ac:dyDescent="0.2">
      <c r="A5536" t="str">
        <f>"FAM46C"</f>
        <v>FAM46C</v>
      </c>
      <c r="B5536" t="s">
        <v>4</v>
      </c>
    </row>
    <row r="5537" spans="1:2" x14ac:dyDescent="0.2">
      <c r="A5537" t="str">
        <f>"FAM46D"</f>
        <v>FAM46D</v>
      </c>
      <c r="B5537" t="s">
        <v>3</v>
      </c>
    </row>
    <row r="5538" spans="1:2" x14ac:dyDescent="0.2">
      <c r="A5538" t="str">
        <f>"FAM47A"</f>
        <v>FAM47A</v>
      </c>
      <c r="B5538" t="s">
        <v>4</v>
      </c>
    </row>
    <row r="5539" spans="1:2" x14ac:dyDescent="0.2">
      <c r="A5539" t="str">
        <f>"FAM47B"</f>
        <v>FAM47B</v>
      </c>
      <c r="B5539" t="s">
        <v>4</v>
      </c>
    </row>
    <row r="5540" spans="1:2" x14ac:dyDescent="0.2">
      <c r="A5540" t="str">
        <f>"FAM47C"</f>
        <v>FAM47C</v>
      </c>
      <c r="B5540" t="s">
        <v>4</v>
      </c>
    </row>
    <row r="5541" spans="1:2" x14ac:dyDescent="0.2">
      <c r="A5541" t="str">
        <f>"FAM47E"</f>
        <v>FAM47E</v>
      </c>
      <c r="B5541" t="s">
        <v>4</v>
      </c>
    </row>
    <row r="5542" spans="1:2" x14ac:dyDescent="0.2">
      <c r="A5542" t="str">
        <f>"FAM47E-STBD1"</f>
        <v>FAM47E-STBD1</v>
      </c>
      <c r="B5542" t="s">
        <v>4</v>
      </c>
    </row>
    <row r="5543" spans="1:2" x14ac:dyDescent="0.2">
      <c r="A5543" t="str">
        <f>"FAM49A"</f>
        <v>FAM49A</v>
      </c>
      <c r="B5543" t="s">
        <v>4</v>
      </c>
    </row>
    <row r="5544" spans="1:2" x14ac:dyDescent="0.2">
      <c r="A5544" t="str">
        <f>"FAM49B"</f>
        <v>FAM49B</v>
      </c>
      <c r="B5544" t="s">
        <v>4</v>
      </c>
    </row>
    <row r="5545" spans="1:2" x14ac:dyDescent="0.2">
      <c r="A5545" t="str">
        <f>"FAM50A"</f>
        <v>FAM50A</v>
      </c>
      <c r="B5545" t="s">
        <v>4</v>
      </c>
    </row>
    <row r="5546" spans="1:2" x14ac:dyDescent="0.2">
      <c r="A5546" t="str">
        <f>"FAM50B"</f>
        <v>FAM50B</v>
      </c>
      <c r="B5546" t="s">
        <v>4</v>
      </c>
    </row>
    <row r="5547" spans="1:2" x14ac:dyDescent="0.2">
      <c r="A5547" t="str">
        <f>"FAM53A"</f>
        <v>FAM53A</v>
      </c>
      <c r="B5547" t="s">
        <v>4</v>
      </c>
    </row>
    <row r="5548" spans="1:2" x14ac:dyDescent="0.2">
      <c r="A5548" t="str">
        <f>"FAM53B"</f>
        <v>FAM53B</v>
      </c>
      <c r="B5548" t="s">
        <v>3</v>
      </c>
    </row>
    <row r="5549" spans="1:2" x14ac:dyDescent="0.2">
      <c r="A5549" t="str">
        <f>"FAM53C"</f>
        <v>FAM53C</v>
      </c>
      <c r="B5549" t="s">
        <v>4</v>
      </c>
    </row>
    <row r="5550" spans="1:2" x14ac:dyDescent="0.2">
      <c r="A5550" t="str">
        <f>"FAM57A"</f>
        <v>FAM57A</v>
      </c>
      <c r="B5550" t="s">
        <v>5</v>
      </c>
    </row>
    <row r="5551" spans="1:2" x14ac:dyDescent="0.2">
      <c r="A5551" t="str">
        <f>"FAM57B"</f>
        <v>FAM57B</v>
      </c>
      <c r="B5551" t="s">
        <v>6</v>
      </c>
    </row>
    <row r="5552" spans="1:2" x14ac:dyDescent="0.2">
      <c r="A5552" t="str">
        <f>"FAM58A"</f>
        <v>FAM58A</v>
      </c>
      <c r="B5552" t="s">
        <v>4</v>
      </c>
    </row>
    <row r="5553" spans="1:2" x14ac:dyDescent="0.2">
      <c r="A5553" t="str">
        <f>"FAM60A"</f>
        <v>FAM60A</v>
      </c>
      <c r="B5553" t="s">
        <v>4</v>
      </c>
    </row>
    <row r="5554" spans="1:2" x14ac:dyDescent="0.2">
      <c r="A5554" t="str">
        <f>"FAM63A"</f>
        <v>FAM63A</v>
      </c>
      <c r="B5554" t="s">
        <v>4</v>
      </c>
    </row>
    <row r="5555" spans="1:2" x14ac:dyDescent="0.2">
      <c r="A5555" t="str">
        <f>"FAM63B"</f>
        <v>FAM63B</v>
      </c>
      <c r="B5555" t="s">
        <v>2</v>
      </c>
    </row>
    <row r="5556" spans="1:2" x14ac:dyDescent="0.2">
      <c r="A5556" t="str">
        <f>"FAM64A"</f>
        <v>FAM64A</v>
      </c>
      <c r="B5556" t="s">
        <v>3</v>
      </c>
    </row>
    <row r="5557" spans="1:2" x14ac:dyDescent="0.2">
      <c r="A5557" t="str">
        <f>"FAM65A"</f>
        <v>FAM65A</v>
      </c>
      <c r="B5557" t="s">
        <v>5</v>
      </c>
    </row>
    <row r="5558" spans="1:2" x14ac:dyDescent="0.2">
      <c r="A5558" t="str">
        <f>"FAM65B"</f>
        <v>FAM65B</v>
      </c>
      <c r="B5558" t="s">
        <v>6</v>
      </c>
    </row>
    <row r="5559" spans="1:2" x14ac:dyDescent="0.2">
      <c r="A5559" t="str">
        <f>"FAM65C"</f>
        <v>FAM65C</v>
      </c>
      <c r="B5559" t="s">
        <v>6</v>
      </c>
    </row>
    <row r="5560" spans="1:2" x14ac:dyDescent="0.2">
      <c r="A5560" t="str">
        <f>"FAM69A"</f>
        <v>FAM69A</v>
      </c>
      <c r="B5560" t="s">
        <v>5</v>
      </c>
    </row>
    <row r="5561" spans="1:2" x14ac:dyDescent="0.2">
      <c r="A5561" t="str">
        <f>"FAM69B"</f>
        <v>FAM69B</v>
      </c>
      <c r="B5561" t="s">
        <v>5</v>
      </c>
    </row>
    <row r="5562" spans="1:2" x14ac:dyDescent="0.2">
      <c r="A5562" t="str">
        <f>"FAM69C"</f>
        <v>FAM69C</v>
      </c>
      <c r="B5562" t="s">
        <v>4</v>
      </c>
    </row>
    <row r="5563" spans="1:2" x14ac:dyDescent="0.2">
      <c r="A5563" t="str">
        <f>"FAM71A"</f>
        <v>FAM71A</v>
      </c>
      <c r="B5563" t="s">
        <v>4</v>
      </c>
    </row>
    <row r="5564" spans="1:2" x14ac:dyDescent="0.2">
      <c r="A5564" t="str">
        <f>"FAM71B"</f>
        <v>FAM71B</v>
      </c>
      <c r="B5564" t="s">
        <v>4</v>
      </c>
    </row>
    <row r="5565" spans="1:2" x14ac:dyDescent="0.2">
      <c r="A5565" t="str">
        <f>"FAM71C"</f>
        <v>FAM71C</v>
      </c>
      <c r="B5565" t="s">
        <v>6</v>
      </c>
    </row>
    <row r="5566" spans="1:2" x14ac:dyDescent="0.2">
      <c r="A5566" t="str">
        <f>"FAM71D"</f>
        <v>FAM71D</v>
      </c>
      <c r="B5566" t="s">
        <v>3</v>
      </c>
    </row>
    <row r="5567" spans="1:2" x14ac:dyDescent="0.2">
      <c r="A5567" t="str">
        <f>"FAM71E1"</f>
        <v>FAM71E1</v>
      </c>
      <c r="B5567" t="s">
        <v>4</v>
      </c>
    </row>
    <row r="5568" spans="1:2" x14ac:dyDescent="0.2">
      <c r="A5568" t="str">
        <f>"FAM71E2"</f>
        <v>FAM71E2</v>
      </c>
      <c r="B5568" t="s">
        <v>4</v>
      </c>
    </row>
    <row r="5569" spans="1:2" x14ac:dyDescent="0.2">
      <c r="A5569" t="str">
        <f>"FAM71F1"</f>
        <v>FAM71F1</v>
      </c>
      <c r="B5569" t="s">
        <v>4</v>
      </c>
    </row>
    <row r="5570" spans="1:2" x14ac:dyDescent="0.2">
      <c r="A5570" t="str">
        <f>"FAM71F2"</f>
        <v>FAM71F2</v>
      </c>
      <c r="B5570" t="s">
        <v>4</v>
      </c>
    </row>
    <row r="5571" spans="1:2" x14ac:dyDescent="0.2">
      <c r="A5571" t="str">
        <f>"FAM72A"</f>
        <v>FAM72A</v>
      </c>
      <c r="B5571" t="s">
        <v>6</v>
      </c>
    </row>
    <row r="5572" spans="1:2" x14ac:dyDescent="0.2">
      <c r="A5572" t="str">
        <f>"FAM72B"</f>
        <v>FAM72B</v>
      </c>
      <c r="B5572" t="s">
        <v>4</v>
      </c>
    </row>
    <row r="5573" spans="1:2" x14ac:dyDescent="0.2">
      <c r="A5573" t="str">
        <f>"FAM72C"</f>
        <v>FAM72C</v>
      </c>
      <c r="B5573" t="s">
        <v>4</v>
      </c>
    </row>
    <row r="5574" spans="1:2" x14ac:dyDescent="0.2">
      <c r="A5574" t="str">
        <f>"FAM72D"</f>
        <v>FAM72D</v>
      </c>
      <c r="B5574" t="s">
        <v>4</v>
      </c>
    </row>
    <row r="5575" spans="1:2" x14ac:dyDescent="0.2">
      <c r="A5575" t="str">
        <f>"FAM73A"</f>
        <v>FAM73A</v>
      </c>
      <c r="B5575" t="s">
        <v>5</v>
      </c>
    </row>
    <row r="5576" spans="1:2" x14ac:dyDescent="0.2">
      <c r="A5576" t="str">
        <f>"FAM73B"</f>
        <v>FAM73B</v>
      </c>
      <c r="B5576" t="s">
        <v>5</v>
      </c>
    </row>
    <row r="5577" spans="1:2" x14ac:dyDescent="0.2">
      <c r="A5577" t="str">
        <f>"FAM76A"</f>
        <v>FAM76A</v>
      </c>
      <c r="B5577" t="s">
        <v>4</v>
      </c>
    </row>
    <row r="5578" spans="1:2" x14ac:dyDescent="0.2">
      <c r="A5578" t="str">
        <f>"FAM76B"</f>
        <v>FAM76B</v>
      </c>
      <c r="B5578" t="s">
        <v>3</v>
      </c>
    </row>
    <row r="5579" spans="1:2" x14ac:dyDescent="0.2">
      <c r="A5579" t="str">
        <f>"FAM78A"</f>
        <v>FAM78A</v>
      </c>
      <c r="B5579" t="s">
        <v>4</v>
      </c>
    </row>
    <row r="5580" spans="1:2" x14ac:dyDescent="0.2">
      <c r="A5580" t="str">
        <f>"FAM78B"</f>
        <v>FAM78B</v>
      </c>
      <c r="B5580" t="s">
        <v>4</v>
      </c>
    </row>
    <row r="5581" spans="1:2" x14ac:dyDescent="0.2">
      <c r="A5581" t="str">
        <f>"FAM81A"</f>
        <v>FAM81A</v>
      </c>
      <c r="B5581" t="s">
        <v>5</v>
      </c>
    </row>
    <row r="5582" spans="1:2" x14ac:dyDescent="0.2">
      <c r="A5582" t="str">
        <f>"FAM81B"</f>
        <v>FAM81B</v>
      </c>
      <c r="B5582" t="s">
        <v>4</v>
      </c>
    </row>
    <row r="5583" spans="1:2" x14ac:dyDescent="0.2">
      <c r="A5583" t="str">
        <f>"FAM83A"</f>
        <v>FAM83A</v>
      </c>
      <c r="B5583" t="s">
        <v>4</v>
      </c>
    </row>
    <row r="5584" spans="1:2" x14ac:dyDescent="0.2">
      <c r="A5584" t="str">
        <f>"FAM83B"</f>
        <v>FAM83B</v>
      </c>
      <c r="B5584" t="s">
        <v>8</v>
      </c>
    </row>
    <row r="5585" spans="1:2" x14ac:dyDescent="0.2">
      <c r="A5585" t="str">
        <f>"FAM83C"</f>
        <v>FAM83C</v>
      </c>
      <c r="B5585" t="s">
        <v>4</v>
      </c>
    </row>
    <row r="5586" spans="1:2" x14ac:dyDescent="0.2">
      <c r="A5586" t="str">
        <f>"FAM83D"</f>
        <v>FAM83D</v>
      </c>
      <c r="B5586" t="s">
        <v>4</v>
      </c>
    </row>
    <row r="5587" spans="1:2" x14ac:dyDescent="0.2">
      <c r="A5587" t="str">
        <f>"FAM83E"</f>
        <v>FAM83E</v>
      </c>
      <c r="B5587" t="s">
        <v>4</v>
      </c>
    </row>
    <row r="5588" spans="1:2" x14ac:dyDescent="0.2">
      <c r="A5588" t="str">
        <f>"FAM83F"</f>
        <v>FAM83F</v>
      </c>
      <c r="B5588" t="s">
        <v>4</v>
      </c>
    </row>
    <row r="5589" spans="1:2" x14ac:dyDescent="0.2">
      <c r="A5589" t="str">
        <f>"FAM83G"</f>
        <v>FAM83G</v>
      </c>
      <c r="B5589" t="s">
        <v>8</v>
      </c>
    </row>
    <row r="5590" spans="1:2" x14ac:dyDescent="0.2">
      <c r="A5590" t="str">
        <f>"FAM83H"</f>
        <v>FAM83H</v>
      </c>
      <c r="B5590" t="s">
        <v>4</v>
      </c>
    </row>
    <row r="5591" spans="1:2" x14ac:dyDescent="0.2">
      <c r="A5591" t="str">
        <f>"FAM84A"</f>
        <v>FAM84A</v>
      </c>
      <c r="B5591" t="s">
        <v>4</v>
      </c>
    </row>
    <row r="5592" spans="1:2" x14ac:dyDescent="0.2">
      <c r="A5592" t="str">
        <f>"FAM84B"</f>
        <v>FAM84B</v>
      </c>
      <c r="B5592" t="s">
        <v>4</v>
      </c>
    </row>
    <row r="5593" spans="1:2" x14ac:dyDescent="0.2">
      <c r="A5593" t="str">
        <f>"FAM85B"</f>
        <v>FAM85B</v>
      </c>
      <c r="B5593" t="s">
        <v>4</v>
      </c>
    </row>
    <row r="5594" spans="1:2" x14ac:dyDescent="0.2">
      <c r="A5594" t="str">
        <f>"FAM86A"</f>
        <v>FAM86A</v>
      </c>
      <c r="B5594" t="s">
        <v>4</v>
      </c>
    </row>
    <row r="5595" spans="1:2" x14ac:dyDescent="0.2">
      <c r="A5595" t="str">
        <f>"FAM86C1"</f>
        <v>FAM86C1</v>
      </c>
      <c r="B5595" t="s">
        <v>4</v>
      </c>
    </row>
    <row r="5596" spans="1:2" x14ac:dyDescent="0.2">
      <c r="A5596" t="str">
        <f>"FAM89A"</f>
        <v>FAM89A</v>
      </c>
      <c r="B5596" t="s">
        <v>4</v>
      </c>
    </row>
    <row r="5597" spans="1:2" x14ac:dyDescent="0.2">
      <c r="A5597" t="str">
        <f>"FAM89B"</f>
        <v>FAM89B</v>
      </c>
      <c r="B5597" t="s">
        <v>4</v>
      </c>
    </row>
    <row r="5598" spans="1:2" x14ac:dyDescent="0.2">
      <c r="A5598" t="str">
        <f>"FAM8A1"</f>
        <v>FAM8A1</v>
      </c>
      <c r="B5598" t="s">
        <v>5</v>
      </c>
    </row>
    <row r="5599" spans="1:2" x14ac:dyDescent="0.2">
      <c r="A5599" t="str">
        <f>"FAM90A1"</f>
        <v>FAM90A1</v>
      </c>
      <c r="B5599" t="s">
        <v>4</v>
      </c>
    </row>
    <row r="5600" spans="1:2" x14ac:dyDescent="0.2">
      <c r="A5600" t="str">
        <f>"FAM91A1"</f>
        <v>FAM91A1</v>
      </c>
      <c r="B5600" t="s">
        <v>4</v>
      </c>
    </row>
    <row r="5601" spans="1:2" x14ac:dyDescent="0.2">
      <c r="A5601" t="str">
        <f>"FAM92A1"</f>
        <v>FAM92A1</v>
      </c>
      <c r="B5601" t="s">
        <v>4</v>
      </c>
    </row>
    <row r="5602" spans="1:2" x14ac:dyDescent="0.2">
      <c r="A5602" t="str">
        <f>"FAM92B"</f>
        <v>FAM92B</v>
      </c>
      <c r="B5602" t="s">
        <v>4</v>
      </c>
    </row>
    <row r="5603" spans="1:2" x14ac:dyDescent="0.2">
      <c r="A5603" t="str">
        <f>"FAM96A"</f>
        <v>FAM96A</v>
      </c>
      <c r="B5603" t="s">
        <v>4</v>
      </c>
    </row>
    <row r="5604" spans="1:2" x14ac:dyDescent="0.2">
      <c r="A5604" t="str">
        <f>"FAM96B"</f>
        <v>FAM96B</v>
      </c>
      <c r="B5604" t="s">
        <v>4</v>
      </c>
    </row>
    <row r="5605" spans="1:2" x14ac:dyDescent="0.2">
      <c r="A5605" t="str">
        <f>"FAM98A"</f>
        <v>FAM98A</v>
      </c>
      <c r="B5605" t="s">
        <v>2</v>
      </c>
    </row>
    <row r="5606" spans="1:2" x14ac:dyDescent="0.2">
      <c r="A5606" t="str">
        <f>"FAM98B"</f>
        <v>FAM98B</v>
      </c>
      <c r="B5606" t="s">
        <v>5</v>
      </c>
    </row>
    <row r="5607" spans="1:2" x14ac:dyDescent="0.2">
      <c r="A5607" t="str">
        <f>"FAM98C"</f>
        <v>FAM98C</v>
      </c>
      <c r="B5607" t="s">
        <v>4</v>
      </c>
    </row>
    <row r="5608" spans="1:2" x14ac:dyDescent="0.2">
      <c r="A5608" t="str">
        <f>"FAM9A"</f>
        <v>FAM9A</v>
      </c>
      <c r="B5608" t="s">
        <v>4</v>
      </c>
    </row>
    <row r="5609" spans="1:2" x14ac:dyDescent="0.2">
      <c r="A5609" t="str">
        <f>"FAM9B"</f>
        <v>FAM9B</v>
      </c>
      <c r="B5609" t="s">
        <v>4</v>
      </c>
    </row>
    <row r="5610" spans="1:2" x14ac:dyDescent="0.2">
      <c r="A5610" t="str">
        <f>"FAM9C"</f>
        <v>FAM9C</v>
      </c>
      <c r="B5610" t="s">
        <v>5</v>
      </c>
    </row>
    <row r="5611" spans="1:2" x14ac:dyDescent="0.2">
      <c r="A5611" t="str">
        <f>"FAN1"</f>
        <v>FAN1</v>
      </c>
      <c r="B5611" t="s">
        <v>8</v>
      </c>
    </row>
    <row r="5612" spans="1:2" x14ac:dyDescent="0.2">
      <c r="A5612" t="str">
        <f>"FANCA"</f>
        <v>FANCA</v>
      </c>
      <c r="B5612" t="s">
        <v>3</v>
      </c>
    </row>
    <row r="5613" spans="1:2" x14ac:dyDescent="0.2">
      <c r="A5613" t="str">
        <f>"FANCB"</f>
        <v>FANCB</v>
      </c>
      <c r="B5613" t="s">
        <v>3</v>
      </c>
    </row>
    <row r="5614" spans="1:2" x14ac:dyDescent="0.2">
      <c r="A5614" t="str">
        <f>"FANCC"</f>
        <v>FANCC</v>
      </c>
      <c r="B5614" t="s">
        <v>3</v>
      </c>
    </row>
    <row r="5615" spans="1:2" x14ac:dyDescent="0.2">
      <c r="A5615" t="str">
        <f>"FANCD2"</f>
        <v>FANCD2</v>
      </c>
      <c r="B5615" t="s">
        <v>3</v>
      </c>
    </row>
    <row r="5616" spans="1:2" x14ac:dyDescent="0.2">
      <c r="A5616" t="str">
        <f>"FANCD2OS"</f>
        <v>FANCD2OS</v>
      </c>
      <c r="B5616" t="s">
        <v>4</v>
      </c>
    </row>
    <row r="5617" spans="1:2" x14ac:dyDescent="0.2">
      <c r="A5617" t="str">
        <f>"FANCE"</f>
        <v>FANCE</v>
      </c>
      <c r="B5617" t="s">
        <v>3</v>
      </c>
    </row>
    <row r="5618" spans="1:2" x14ac:dyDescent="0.2">
      <c r="A5618" t="str">
        <f>"FANCF"</f>
        <v>FANCF</v>
      </c>
      <c r="B5618" t="s">
        <v>3</v>
      </c>
    </row>
    <row r="5619" spans="1:2" x14ac:dyDescent="0.2">
      <c r="A5619" t="str">
        <f>"FANCG"</f>
        <v>FANCG</v>
      </c>
      <c r="B5619" t="s">
        <v>3</v>
      </c>
    </row>
    <row r="5620" spans="1:2" x14ac:dyDescent="0.2">
      <c r="A5620" t="str">
        <f>"FANCI"</f>
        <v>FANCI</v>
      </c>
      <c r="B5620" t="s">
        <v>3</v>
      </c>
    </row>
    <row r="5621" spans="1:2" x14ac:dyDescent="0.2">
      <c r="A5621" t="str">
        <f>"FANCL"</f>
        <v>FANCL</v>
      </c>
      <c r="B5621" t="s">
        <v>3</v>
      </c>
    </row>
    <row r="5622" spans="1:2" x14ac:dyDescent="0.2">
      <c r="A5622" t="str">
        <f>"FANCM"</f>
        <v>FANCM</v>
      </c>
      <c r="B5622" t="s">
        <v>3</v>
      </c>
    </row>
    <row r="5623" spans="1:2" x14ac:dyDescent="0.2">
      <c r="A5623" t="str">
        <f>"FANK1"</f>
        <v>FANK1</v>
      </c>
      <c r="B5623" t="s">
        <v>8</v>
      </c>
    </row>
    <row r="5624" spans="1:2" x14ac:dyDescent="0.2">
      <c r="A5624" t="str">
        <f>"FAP"</f>
        <v>FAP</v>
      </c>
      <c r="B5624" t="s">
        <v>2</v>
      </c>
    </row>
    <row r="5625" spans="1:2" x14ac:dyDescent="0.2">
      <c r="A5625" t="str">
        <f>"FAR1"</f>
        <v>FAR1</v>
      </c>
      <c r="B5625" t="s">
        <v>6</v>
      </c>
    </row>
    <row r="5626" spans="1:2" x14ac:dyDescent="0.2">
      <c r="A5626" t="str">
        <f>"FAR2"</f>
        <v>FAR2</v>
      </c>
      <c r="B5626" t="s">
        <v>6</v>
      </c>
    </row>
    <row r="5627" spans="1:2" x14ac:dyDescent="0.2">
      <c r="A5627" t="str">
        <f>"FARP1"</f>
        <v>FARP1</v>
      </c>
      <c r="B5627" t="s">
        <v>6</v>
      </c>
    </row>
    <row r="5628" spans="1:2" x14ac:dyDescent="0.2">
      <c r="A5628" t="str">
        <f>"FARP2"</f>
        <v>FARP2</v>
      </c>
      <c r="B5628" t="s">
        <v>6</v>
      </c>
    </row>
    <row r="5629" spans="1:2" x14ac:dyDescent="0.2">
      <c r="A5629" t="str">
        <f>"FARS2"</f>
        <v>FARS2</v>
      </c>
      <c r="B5629" t="s">
        <v>7</v>
      </c>
    </row>
    <row r="5630" spans="1:2" x14ac:dyDescent="0.2">
      <c r="A5630" t="str">
        <f>"FARSA"</f>
        <v>FARSA</v>
      </c>
      <c r="B5630" t="s">
        <v>7</v>
      </c>
    </row>
    <row r="5631" spans="1:2" x14ac:dyDescent="0.2">
      <c r="A5631" t="str">
        <f>"FARSB"</f>
        <v>FARSB</v>
      </c>
      <c r="B5631" t="s">
        <v>7</v>
      </c>
    </row>
    <row r="5632" spans="1:2" x14ac:dyDescent="0.2">
      <c r="A5632" t="str">
        <f>"FAS"</f>
        <v>FAS</v>
      </c>
      <c r="B5632" t="s">
        <v>3</v>
      </c>
    </row>
    <row r="5633" spans="1:2" x14ac:dyDescent="0.2">
      <c r="A5633" t="str">
        <f>"FASLG"</f>
        <v>FASLG</v>
      </c>
      <c r="B5633" t="s">
        <v>3</v>
      </c>
    </row>
    <row r="5634" spans="1:2" x14ac:dyDescent="0.2">
      <c r="A5634" t="str">
        <f>"FASN"</f>
        <v>FASN</v>
      </c>
      <c r="B5634" t="s">
        <v>3</v>
      </c>
    </row>
    <row r="5635" spans="1:2" x14ac:dyDescent="0.2">
      <c r="A5635" t="str">
        <f>"FASTK"</f>
        <v>FASTK</v>
      </c>
      <c r="B5635" t="s">
        <v>7</v>
      </c>
    </row>
    <row r="5636" spans="1:2" x14ac:dyDescent="0.2">
      <c r="A5636" t="str">
        <f>"FASTKD1"</f>
        <v>FASTKD1</v>
      </c>
      <c r="B5636" t="s">
        <v>6</v>
      </c>
    </row>
    <row r="5637" spans="1:2" x14ac:dyDescent="0.2">
      <c r="A5637" t="str">
        <f>"FASTKD2"</f>
        <v>FASTKD2</v>
      </c>
      <c r="B5637" t="s">
        <v>6</v>
      </c>
    </row>
    <row r="5638" spans="1:2" x14ac:dyDescent="0.2">
      <c r="A5638" t="str">
        <f>"FASTKD3"</f>
        <v>FASTKD3</v>
      </c>
      <c r="B5638" t="s">
        <v>6</v>
      </c>
    </row>
    <row r="5639" spans="1:2" x14ac:dyDescent="0.2">
      <c r="A5639" t="str">
        <f>"FASTKD5"</f>
        <v>FASTKD5</v>
      </c>
      <c r="B5639" t="s">
        <v>6</v>
      </c>
    </row>
    <row r="5640" spans="1:2" x14ac:dyDescent="0.2">
      <c r="A5640" t="str">
        <f>"FAT1"</f>
        <v>FAT1</v>
      </c>
      <c r="B5640" t="s">
        <v>5</v>
      </c>
    </row>
    <row r="5641" spans="1:2" x14ac:dyDescent="0.2">
      <c r="A5641" t="str">
        <f>"FAT2"</f>
        <v>FAT2</v>
      </c>
      <c r="B5641" t="s">
        <v>5</v>
      </c>
    </row>
    <row r="5642" spans="1:2" x14ac:dyDescent="0.2">
      <c r="A5642" t="str">
        <f>"FAT3"</f>
        <v>FAT3</v>
      </c>
      <c r="B5642" t="s">
        <v>4</v>
      </c>
    </row>
    <row r="5643" spans="1:2" x14ac:dyDescent="0.2">
      <c r="A5643" t="str">
        <f>"FAT4"</f>
        <v>FAT4</v>
      </c>
      <c r="B5643" t="s">
        <v>5</v>
      </c>
    </row>
    <row r="5644" spans="1:2" x14ac:dyDescent="0.2">
      <c r="A5644" t="str">
        <f>"FATE1"</f>
        <v>FATE1</v>
      </c>
      <c r="B5644" t="s">
        <v>6</v>
      </c>
    </row>
    <row r="5645" spans="1:2" x14ac:dyDescent="0.2">
      <c r="A5645" t="str">
        <f>"FAU"</f>
        <v>FAU</v>
      </c>
      <c r="B5645" t="s">
        <v>2</v>
      </c>
    </row>
    <row r="5646" spans="1:2" x14ac:dyDescent="0.2">
      <c r="A5646" t="str">
        <f>"FAXC"</f>
        <v>FAXC</v>
      </c>
      <c r="B5646" t="s">
        <v>5</v>
      </c>
    </row>
    <row r="5647" spans="1:2" x14ac:dyDescent="0.2">
      <c r="A5647" t="str">
        <f>"FAXDC2"</f>
        <v>FAXDC2</v>
      </c>
      <c r="B5647" t="s">
        <v>5</v>
      </c>
    </row>
    <row r="5648" spans="1:2" x14ac:dyDescent="0.2">
      <c r="A5648" t="str">
        <f>"FBF1"</f>
        <v>FBF1</v>
      </c>
      <c r="B5648" t="s">
        <v>4</v>
      </c>
    </row>
    <row r="5649" spans="1:2" x14ac:dyDescent="0.2">
      <c r="A5649" t="str">
        <f>"FBL"</f>
        <v>FBL</v>
      </c>
      <c r="B5649" t="s">
        <v>8</v>
      </c>
    </row>
    <row r="5650" spans="1:2" x14ac:dyDescent="0.2">
      <c r="A5650" t="str">
        <f>"FBLIM1"</f>
        <v>FBLIM1</v>
      </c>
      <c r="B5650" t="s">
        <v>6</v>
      </c>
    </row>
    <row r="5651" spans="1:2" x14ac:dyDescent="0.2">
      <c r="A5651" t="str">
        <f>"FBLN1"</f>
        <v>FBLN1</v>
      </c>
      <c r="B5651" t="s">
        <v>3</v>
      </c>
    </row>
    <row r="5652" spans="1:2" x14ac:dyDescent="0.2">
      <c r="A5652" t="str">
        <f>"FBLN2"</f>
        <v>FBLN2</v>
      </c>
      <c r="B5652" t="s">
        <v>4</v>
      </c>
    </row>
    <row r="5653" spans="1:2" x14ac:dyDescent="0.2">
      <c r="A5653" t="str">
        <f>"FBLN5"</f>
        <v>FBLN5</v>
      </c>
      <c r="B5653" t="s">
        <v>3</v>
      </c>
    </row>
    <row r="5654" spans="1:2" x14ac:dyDescent="0.2">
      <c r="A5654" t="str">
        <f>"FBLN7"</f>
        <v>FBLN7</v>
      </c>
      <c r="B5654" t="s">
        <v>4</v>
      </c>
    </row>
    <row r="5655" spans="1:2" x14ac:dyDescent="0.2">
      <c r="A5655" t="str">
        <f>"FBN1"</f>
        <v>FBN1</v>
      </c>
      <c r="B5655" t="s">
        <v>8</v>
      </c>
    </row>
    <row r="5656" spans="1:2" x14ac:dyDescent="0.2">
      <c r="A5656" t="str">
        <f>"FBN2"</f>
        <v>FBN2</v>
      </c>
      <c r="B5656" t="s">
        <v>3</v>
      </c>
    </row>
    <row r="5657" spans="1:2" x14ac:dyDescent="0.2">
      <c r="A5657" t="str">
        <f>"FBN3"</f>
        <v>FBN3</v>
      </c>
      <c r="B5657" t="s">
        <v>4</v>
      </c>
    </row>
    <row r="5658" spans="1:2" x14ac:dyDescent="0.2">
      <c r="A5658" t="str">
        <f>"FBP1"</f>
        <v>FBP1</v>
      </c>
      <c r="B5658" t="s">
        <v>7</v>
      </c>
    </row>
    <row r="5659" spans="1:2" x14ac:dyDescent="0.2">
      <c r="A5659" t="str">
        <f>"FBP2"</f>
        <v>FBP2</v>
      </c>
      <c r="B5659" t="s">
        <v>7</v>
      </c>
    </row>
    <row r="5660" spans="1:2" x14ac:dyDescent="0.2">
      <c r="A5660" t="str">
        <f>"FBRS"</f>
        <v>FBRS</v>
      </c>
      <c r="B5660" t="s">
        <v>4</v>
      </c>
    </row>
    <row r="5661" spans="1:2" x14ac:dyDescent="0.2">
      <c r="A5661" t="str">
        <f>"FBRSL1"</f>
        <v>FBRSL1</v>
      </c>
      <c r="B5661" t="s">
        <v>4</v>
      </c>
    </row>
    <row r="5662" spans="1:2" x14ac:dyDescent="0.2">
      <c r="A5662" t="str">
        <f>"FBXL12"</f>
        <v>FBXL12</v>
      </c>
      <c r="B5662" t="s">
        <v>2</v>
      </c>
    </row>
    <row r="5663" spans="1:2" x14ac:dyDescent="0.2">
      <c r="A5663" t="str">
        <f>"FBXL13"</f>
        <v>FBXL13</v>
      </c>
      <c r="B5663" t="s">
        <v>2</v>
      </c>
    </row>
    <row r="5664" spans="1:2" x14ac:dyDescent="0.2">
      <c r="A5664" t="str">
        <f>"FBXL14"</f>
        <v>FBXL14</v>
      </c>
      <c r="B5664" t="s">
        <v>2</v>
      </c>
    </row>
    <row r="5665" spans="1:2" x14ac:dyDescent="0.2">
      <c r="A5665" t="str">
        <f>"FBXL15"</f>
        <v>FBXL15</v>
      </c>
      <c r="B5665" t="s">
        <v>2</v>
      </c>
    </row>
    <row r="5666" spans="1:2" x14ac:dyDescent="0.2">
      <c r="A5666" t="str">
        <f>"FBXL16"</f>
        <v>FBXL16</v>
      </c>
      <c r="B5666" t="s">
        <v>2</v>
      </c>
    </row>
    <row r="5667" spans="1:2" x14ac:dyDescent="0.2">
      <c r="A5667" t="str">
        <f>"FBXL17"</f>
        <v>FBXL17</v>
      </c>
      <c r="B5667" t="s">
        <v>2</v>
      </c>
    </row>
    <row r="5668" spans="1:2" x14ac:dyDescent="0.2">
      <c r="A5668" t="str">
        <f>"FBXL18"</f>
        <v>FBXL18</v>
      </c>
      <c r="B5668" t="s">
        <v>3</v>
      </c>
    </row>
    <row r="5669" spans="1:2" x14ac:dyDescent="0.2">
      <c r="A5669" t="str">
        <f>"FBXL19"</f>
        <v>FBXL19</v>
      </c>
      <c r="B5669" t="s">
        <v>2</v>
      </c>
    </row>
    <row r="5670" spans="1:2" x14ac:dyDescent="0.2">
      <c r="A5670" t="str">
        <f>"FBXL2"</f>
        <v>FBXL2</v>
      </c>
      <c r="B5670" t="s">
        <v>2</v>
      </c>
    </row>
    <row r="5671" spans="1:2" x14ac:dyDescent="0.2">
      <c r="A5671" t="str">
        <f>"FBXL20"</f>
        <v>FBXL20</v>
      </c>
      <c r="B5671" t="s">
        <v>3</v>
      </c>
    </row>
    <row r="5672" spans="1:2" x14ac:dyDescent="0.2">
      <c r="A5672" t="str">
        <f>"FBXL21"</f>
        <v>FBXL21</v>
      </c>
      <c r="B5672" t="s">
        <v>2</v>
      </c>
    </row>
    <row r="5673" spans="1:2" x14ac:dyDescent="0.2">
      <c r="A5673" t="str">
        <f>"FBXL22"</f>
        <v>FBXL22</v>
      </c>
      <c r="B5673" t="s">
        <v>2</v>
      </c>
    </row>
    <row r="5674" spans="1:2" x14ac:dyDescent="0.2">
      <c r="A5674" t="str">
        <f>"FBXL3"</f>
        <v>FBXL3</v>
      </c>
      <c r="B5674" t="s">
        <v>2</v>
      </c>
    </row>
    <row r="5675" spans="1:2" x14ac:dyDescent="0.2">
      <c r="A5675" t="str">
        <f>"FBXL4"</f>
        <v>FBXL4</v>
      </c>
      <c r="B5675" t="s">
        <v>2</v>
      </c>
    </row>
    <row r="5676" spans="1:2" x14ac:dyDescent="0.2">
      <c r="A5676" t="str">
        <f>"FBXL5"</f>
        <v>FBXL5</v>
      </c>
      <c r="B5676" t="s">
        <v>2</v>
      </c>
    </row>
    <row r="5677" spans="1:2" x14ac:dyDescent="0.2">
      <c r="A5677" t="str">
        <f>"FBXL6"</f>
        <v>FBXL6</v>
      </c>
      <c r="B5677" t="s">
        <v>2</v>
      </c>
    </row>
    <row r="5678" spans="1:2" x14ac:dyDescent="0.2">
      <c r="A5678" t="str">
        <f>"FBXL7"</f>
        <v>FBXL7</v>
      </c>
      <c r="B5678" t="s">
        <v>2</v>
      </c>
    </row>
    <row r="5679" spans="1:2" x14ac:dyDescent="0.2">
      <c r="A5679" t="str">
        <f>"FBXL8"</f>
        <v>FBXL8</v>
      </c>
      <c r="B5679" t="s">
        <v>2</v>
      </c>
    </row>
    <row r="5680" spans="1:2" x14ac:dyDescent="0.2">
      <c r="A5680" t="str">
        <f>"FBXO10"</f>
        <v>FBXO10</v>
      </c>
      <c r="B5680" t="s">
        <v>2</v>
      </c>
    </row>
    <row r="5681" spans="1:2" x14ac:dyDescent="0.2">
      <c r="A5681" t="str">
        <f>"FBXO11"</f>
        <v>FBXO11</v>
      </c>
      <c r="B5681" t="s">
        <v>2</v>
      </c>
    </row>
    <row r="5682" spans="1:2" x14ac:dyDescent="0.2">
      <c r="A5682" t="str">
        <f>"FBXO15"</f>
        <v>FBXO15</v>
      </c>
      <c r="B5682" t="s">
        <v>2</v>
      </c>
    </row>
    <row r="5683" spans="1:2" x14ac:dyDescent="0.2">
      <c r="A5683" t="str">
        <f>"FBXO16"</f>
        <v>FBXO16</v>
      </c>
      <c r="B5683" t="s">
        <v>2</v>
      </c>
    </row>
    <row r="5684" spans="1:2" x14ac:dyDescent="0.2">
      <c r="A5684" t="str">
        <f>"FBXO17"</f>
        <v>FBXO17</v>
      </c>
      <c r="B5684" t="s">
        <v>2</v>
      </c>
    </row>
    <row r="5685" spans="1:2" x14ac:dyDescent="0.2">
      <c r="A5685" t="str">
        <f>"FBXO18"</f>
        <v>FBXO18</v>
      </c>
      <c r="B5685" t="s">
        <v>2</v>
      </c>
    </row>
    <row r="5686" spans="1:2" x14ac:dyDescent="0.2">
      <c r="A5686" t="str">
        <f>"FBXO2"</f>
        <v>FBXO2</v>
      </c>
      <c r="B5686" t="s">
        <v>2</v>
      </c>
    </row>
    <row r="5687" spans="1:2" x14ac:dyDescent="0.2">
      <c r="A5687" t="str">
        <f>"FBXO21"</f>
        <v>FBXO21</v>
      </c>
      <c r="B5687" t="s">
        <v>2</v>
      </c>
    </row>
    <row r="5688" spans="1:2" x14ac:dyDescent="0.2">
      <c r="A5688" t="str">
        <f>"FBXO22"</f>
        <v>FBXO22</v>
      </c>
      <c r="B5688" t="s">
        <v>2</v>
      </c>
    </row>
    <row r="5689" spans="1:2" x14ac:dyDescent="0.2">
      <c r="A5689" t="str">
        <f>"FBXO24"</f>
        <v>FBXO24</v>
      </c>
      <c r="B5689" t="s">
        <v>3</v>
      </c>
    </row>
    <row r="5690" spans="1:2" x14ac:dyDescent="0.2">
      <c r="A5690" t="str">
        <f>"FBXO25"</f>
        <v>FBXO25</v>
      </c>
      <c r="B5690" t="s">
        <v>2</v>
      </c>
    </row>
    <row r="5691" spans="1:2" x14ac:dyDescent="0.2">
      <c r="A5691" t="str">
        <f>"FBXO27"</f>
        <v>FBXO27</v>
      </c>
      <c r="B5691" t="s">
        <v>2</v>
      </c>
    </row>
    <row r="5692" spans="1:2" x14ac:dyDescent="0.2">
      <c r="A5692" t="str">
        <f>"FBXO28"</f>
        <v>FBXO28</v>
      </c>
      <c r="B5692" t="s">
        <v>2</v>
      </c>
    </row>
    <row r="5693" spans="1:2" x14ac:dyDescent="0.2">
      <c r="A5693" t="str">
        <f>"FBXO3"</f>
        <v>FBXO3</v>
      </c>
      <c r="B5693" t="s">
        <v>2</v>
      </c>
    </row>
    <row r="5694" spans="1:2" x14ac:dyDescent="0.2">
      <c r="A5694" t="str">
        <f>"FBXO30"</f>
        <v>FBXO30</v>
      </c>
      <c r="B5694" t="s">
        <v>2</v>
      </c>
    </row>
    <row r="5695" spans="1:2" x14ac:dyDescent="0.2">
      <c r="A5695" t="str">
        <f>"FBXO31"</f>
        <v>FBXO31</v>
      </c>
      <c r="B5695" t="s">
        <v>2</v>
      </c>
    </row>
    <row r="5696" spans="1:2" x14ac:dyDescent="0.2">
      <c r="A5696" t="str">
        <f>"FBXO32"</f>
        <v>FBXO32</v>
      </c>
      <c r="B5696" t="s">
        <v>2</v>
      </c>
    </row>
    <row r="5697" spans="1:2" x14ac:dyDescent="0.2">
      <c r="A5697" t="str">
        <f>"FBXO33"</f>
        <v>FBXO33</v>
      </c>
      <c r="B5697" t="s">
        <v>2</v>
      </c>
    </row>
    <row r="5698" spans="1:2" x14ac:dyDescent="0.2">
      <c r="A5698" t="str">
        <f>"FBXO34"</f>
        <v>FBXO34</v>
      </c>
      <c r="B5698" t="s">
        <v>2</v>
      </c>
    </row>
    <row r="5699" spans="1:2" x14ac:dyDescent="0.2">
      <c r="A5699" t="str">
        <f>"FBXO36"</f>
        <v>FBXO36</v>
      </c>
      <c r="B5699" t="s">
        <v>2</v>
      </c>
    </row>
    <row r="5700" spans="1:2" x14ac:dyDescent="0.2">
      <c r="A5700" t="str">
        <f>"FBXO38"</f>
        <v>FBXO38</v>
      </c>
      <c r="B5700" t="s">
        <v>2</v>
      </c>
    </row>
    <row r="5701" spans="1:2" x14ac:dyDescent="0.2">
      <c r="A5701" t="str">
        <f>"FBXO39"</f>
        <v>FBXO39</v>
      </c>
      <c r="B5701" t="s">
        <v>2</v>
      </c>
    </row>
    <row r="5702" spans="1:2" x14ac:dyDescent="0.2">
      <c r="A5702" t="str">
        <f>"FBXO4"</f>
        <v>FBXO4</v>
      </c>
      <c r="B5702" t="s">
        <v>2</v>
      </c>
    </row>
    <row r="5703" spans="1:2" x14ac:dyDescent="0.2">
      <c r="A5703" t="str">
        <f>"FBXO40"</f>
        <v>FBXO40</v>
      </c>
      <c r="B5703" t="s">
        <v>2</v>
      </c>
    </row>
    <row r="5704" spans="1:2" x14ac:dyDescent="0.2">
      <c r="A5704" t="str">
        <f>"FBXO41"</f>
        <v>FBXO41</v>
      </c>
      <c r="B5704" t="s">
        <v>2</v>
      </c>
    </row>
    <row r="5705" spans="1:2" x14ac:dyDescent="0.2">
      <c r="A5705" t="str">
        <f>"FBXO42"</f>
        <v>FBXO42</v>
      </c>
      <c r="B5705" t="s">
        <v>2</v>
      </c>
    </row>
    <row r="5706" spans="1:2" x14ac:dyDescent="0.2">
      <c r="A5706" t="str">
        <f>"FBXO43"</f>
        <v>FBXO43</v>
      </c>
      <c r="B5706" t="s">
        <v>2</v>
      </c>
    </row>
    <row r="5707" spans="1:2" x14ac:dyDescent="0.2">
      <c r="A5707" t="str">
        <f>"FBXO44"</f>
        <v>FBXO44</v>
      </c>
      <c r="B5707" t="s">
        <v>2</v>
      </c>
    </row>
    <row r="5708" spans="1:2" x14ac:dyDescent="0.2">
      <c r="A5708" t="str">
        <f>"FBXO45"</f>
        <v>FBXO45</v>
      </c>
      <c r="B5708" t="s">
        <v>2</v>
      </c>
    </row>
    <row r="5709" spans="1:2" x14ac:dyDescent="0.2">
      <c r="A5709" t="str">
        <f>"FBXO46"</f>
        <v>FBXO46</v>
      </c>
      <c r="B5709" t="s">
        <v>2</v>
      </c>
    </row>
    <row r="5710" spans="1:2" x14ac:dyDescent="0.2">
      <c r="A5710" t="str">
        <f>"FBXO47"</f>
        <v>FBXO47</v>
      </c>
      <c r="B5710" t="s">
        <v>2</v>
      </c>
    </row>
    <row r="5711" spans="1:2" x14ac:dyDescent="0.2">
      <c r="A5711" t="str">
        <f>"FBXO48"</f>
        <v>FBXO48</v>
      </c>
      <c r="B5711" t="s">
        <v>2</v>
      </c>
    </row>
    <row r="5712" spans="1:2" x14ac:dyDescent="0.2">
      <c r="A5712" t="str">
        <f>"FBXO5"</f>
        <v>FBXO5</v>
      </c>
      <c r="B5712" t="s">
        <v>3</v>
      </c>
    </row>
    <row r="5713" spans="1:2" x14ac:dyDescent="0.2">
      <c r="A5713" t="str">
        <f>"FBXO6"</f>
        <v>FBXO6</v>
      </c>
      <c r="B5713" t="s">
        <v>2</v>
      </c>
    </row>
    <row r="5714" spans="1:2" x14ac:dyDescent="0.2">
      <c r="A5714" t="str">
        <f>"FBXO7"</f>
        <v>FBXO7</v>
      </c>
      <c r="B5714" t="s">
        <v>2</v>
      </c>
    </row>
    <row r="5715" spans="1:2" x14ac:dyDescent="0.2">
      <c r="A5715" t="str">
        <f>"FBXO8"</f>
        <v>FBXO8</v>
      </c>
      <c r="B5715" t="s">
        <v>2</v>
      </c>
    </row>
    <row r="5716" spans="1:2" x14ac:dyDescent="0.2">
      <c r="A5716" t="str">
        <f>"FBXO9"</f>
        <v>FBXO9</v>
      </c>
      <c r="B5716" t="s">
        <v>2</v>
      </c>
    </row>
    <row r="5717" spans="1:2" x14ac:dyDescent="0.2">
      <c r="A5717" t="str">
        <f>"FBXW10"</f>
        <v>FBXW10</v>
      </c>
      <c r="B5717" t="s">
        <v>2</v>
      </c>
    </row>
    <row r="5718" spans="1:2" x14ac:dyDescent="0.2">
      <c r="A5718" t="str">
        <f>"FBXW11"</f>
        <v>FBXW11</v>
      </c>
      <c r="B5718" t="s">
        <v>3</v>
      </c>
    </row>
    <row r="5719" spans="1:2" x14ac:dyDescent="0.2">
      <c r="A5719" t="str">
        <f>"FBXW12"</f>
        <v>FBXW12</v>
      </c>
      <c r="B5719" t="s">
        <v>2</v>
      </c>
    </row>
    <row r="5720" spans="1:2" x14ac:dyDescent="0.2">
      <c r="A5720" t="str">
        <f>"FBXW2"</f>
        <v>FBXW2</v>
      </c>
      <c r="B5720" t="s">
        <v>3</v>
      </c>
    </row>
    <row r="5721" spans="1:2" x14ac:dyDescent="0.2">
      <c r="A5721" t="str">
        <f>"FBXW4"</f>
        <v>FBXW4</v>
      </c>
      <c r="B5721" t="s">
        <v>2</v>
      </c>
    </row>
    <row r="5722" spans="1:2" x14ac:dyDescent="0.2">
      <c r="A5722" t="str">
        <f>"FBXW5"</f>
        <v>FBXW5</v>
      </c>
      <c r="B5722" t="s">
        <v>2</v>
      </c>
    </row>
    <row r="5723" spans="1:2" x14ac:dyDescent="0.2">
      <c r="A5723" t="str">
        <f>"FBXW7"</f>
        <v>FBXW7</v>
      </c>
      <c r="B5723" t="s">
        <v>3</v>
      </c>
    </row>
    <row r="5724" spans="1:2" x14ac:dyDescent="0.2">
      <c r="A5724" t="str">
        <f>"FBXW8"</f>
        <v>FBXW8</v>
      </c>
      <c r="B5724" t="s">
        <v>2</v>
      </c>
    </row>
    <row r="5725" spans="1:2" x14ac:dyDescent="0.2">
      <c r="A5725" t="str">
        <f>"FBXW9"</f>
        <v>FBXW9</v>
      </c>
      <c r="B5725" t="s">
        <v>2</v>
      </c>
    </row>
    <row r="5726" spans="1:2" x14ac:dyDescent="0.2">
      <c r="A5726" t="str">
        <f>"FCAMR"</f>
        <v>FCAMR</v>
      </c>
      <c r="B5726" t="s">
        <v>5</v>
      </c>
    </row>
    <row r="5727" spans="1:2" x14ac:dyDescent="0.2">
      <c r="A5727" t="str">
        <f>"FCAR"</f>
        <v>FCAR</v>
      </c>
      <c r="B5727" t="s">
        <v>5</v>
      </c>
    </row>
    <row r="5728" spans="1:2" x14ac:dyDescent="0.2">
      <c r="A5728" t="str">
        <f>"FCER1A"</f>
        <v>FCER1A</v>
      </c>
      <c r="B5728" t="s">
        <v>7</v>
      </c>
    </row>
    <row r="5729" spans="1:2" x14ac:dyDescent="0.2">
      <c r="A5729" t="str">
        <f>"FCER1G"</f>
        <v>FCER1G</v>
      </c>
      <c r="B5729" t="s">
        <v>7</v>
      </c>
    </row>
    <row r="5730" spans="1:2" x14ac:dyDescent="0.2">
      <c r="A5730" t="str">
        <f>"FCER2"</f>
        <v>FCER2</v>
      </c>
      <c r="B5730" t="s">
        <v>5</v>
      </c>
    </row>
    <row r="5731" spans="1:2" x14ac:dyDescent="0.2">
      <c r="A5731" t="str">
        <f>"FCF1"</f>
        <v>FCF1</v>
      </c>
      <c r="B5731" t="s">
        <v>6</v>
      </c>
    </row>
    <row r="5732" spans="1:2" x14ac:dyDescent="0.2">
      <c r="A5732" t="str">
        <f>"FCGBP"</f>
        <v>FCGBP</v>
      </c>
      <c r="B5732" t="s">
        <v>3</v>
      </c>
    </row>
    <row r="5733" spans="1:2" x14ac:dyDescent="0.2">
      <c r="A5733" t="str">
        <f>"FCGR1A"</f>
        <v>FCGR1A</v>
      </c>
      <c r="B5733" t="s">
        <v>3</v>
      </c>
    </row>
    <row r="5734" spans="1:2" x14ac:dyDescent="0.2">
      <c r="A5734" t="str">
        <f>"FCGR1B"</f>
        <v>FCGR1B</v>
      </c>
      <c r="B5734" t="s">
        <v>7</v>
      </c>
    </row>
    <row r="5735" spans="1:2" x14ac:dyDescent="0.2">
      <c r="A5735" t="str">
        <f>"FCGR2A"</f>
        <v>FCGR2A</v>
      </c>
      <c r="B5735" t="s">
        <v>3</v>
      </c>
    </row>
    <row r="5736" spans="1:2" x14ac:dyDescent="0.2">
      <c r="A5736" t="str">
        <f>"FCGR2B"</f>
        <v>FCGR2B</v>
      </c>
      <c r="B5736" t="s">
        <v>3</v>
      </c>
    </row>
    <row r="5737" spans="1:2" x14ac:dyDescent="0.2">
      <c r="A5737" t="str">
        <f>"FCGR2C"</f>
        <v>FCGR2C</v>
      </c>
      <c r="B5737" t="s">
        <v>3</v>
      </c>
    </row>
    <row r="5738" spans="1:2" x14ac:dyDescent="0.2">
      <c r="A5738" t="str">
        <f>"FCGR3A"</f>
        <v>FCGR3A</v>
      </c>
      <c r="B5738" t="s">
        <v>7</v>
      </c>
    </row>
    <row r="5739" spans="1:2" x14ac:dyDescent="0.2">
      <c r="A5739" t="str">
        <f>"FCGR3B"</f>
        <v>FCGR3B</v>
      </c>
      <c r="B5739" t="s">
        <v>7</v>
      </c>
    </row>
    <row r="5740" spans="1:2" x14ac:dyDescent="0.2">
      <c r="A5740" t="str">
        <f>"FCGRT"</f>
        <v>FCGRT</v>
      </c>
      <c r="B5740" t="s">
        <v>2</v>
      </c>
    </row>
    <row r="5741" spans="1:2" x14ac:dyDescent="0.2">
      <c r="A5741" t="str">
        <f>"FCHO1"</f>
        <v>FCHO1</v>
      </c>
      <c r="B5741" t="s">
        <v>2</v>
      </c>
    </row>
    <row r="5742" spans="1:2" x14ac:dyDescent="0.2">
      <c r="A5742" t="str">
        <f>"FCHO2"</f>
        <v>FCHO2</v>
      </c>
      <c r="B5742" t="s">
        <v>4</v>
      </c>
    </row>
    <row r="5743" spans="1:2" x14ac:dyDescent="0.2">
      <c r="A5743" t="str">
        <f>"FCHSD1"</f>
        <v>FCHSD1</v>
      </c>
      <c r="B5743" t="s">
        <v>4</v>
      </c>
    </row>
    <row r="5744" spans="1:2" x14ac:dyDescent="0.2">
      <c r="A5744" t="str">
        <f>"FCHSD2"</f>
        <v>FCHSD2</v>
      </c>
      <c r="B5744" t="s">
        <v>4</v>
      </c>
    </row>
    <row r="5745" spans="1:2" x14ac:dyDescent="0.2">
      <c r="A5745" t="str">
        <f>"FCN1"</f>
        <v>FCN1</v>
      </c>
      <c r="B5745" t="s">
        <v>4</v>
      </c>
    </row>
    <row r="5746" spans="1:2" x14ac:dyDescent="0.2">
      <c r="A5746" t="str">
        <f>"FCN2"</f>
        <v>FCN2</v>
      </c>
      <c r="B5746" t="s">
        <v>4</v>
      </c>
    </row>
    <row r="5747" spans="1:2" x14ac:dyDescent="0.2">
      <c r="A5747" t="str">
        <f>"FCN3"</f>
        <v>FCN3</v>
      </c>
      <c r="B5747" t="s">
        <v>4</v>
      </c>
    </row>
    <row r="5748" spans="1:2" x14ac:dyDescent="0.2">
      <c r="A5748" t="str">
        <f>"FCRL1"</f>
        <v>FCRL1</v>
      </c>
      <c r="B5748" t="s">
        <v>5</v>
      </c>
    </row>
    <row r="5749" spans="1:2" x14ac:dyDescent="0.2">
      <c r="A5749" t="str">
        <f>"FCRL2"</f>
        <v>FCRL2</v>
      </c>
      <c r="B5749" t="s">
        <v>7</v>
      </c>
    </row>
    <row r="5750" spans="1:2" x14ac:dyDescent="0.2">
      <c r="A5750" t="str">
        <f>"FCRL3"</f>
        <v>FCRL3</v>
      </c>
      <c r="B5750" t="s">
        <v>5</v>
      </c>
    </row>
    <row r="5751" spans="1:2" x14ac:dyDescent="0.2">
      <c r="A5751" t="str">
        <f>"FCRL4"</f>
        <v>FCRL4</v>
      </c>
      <c r="B5751" t="s">
        <v>3</v>
      </c>
    </row>
    <row r="5752" spans="1:2" x14ac:dyDescent="0.2">
      <c r="A5752" t="str">
        <f>"FCRL5"</f>
        <v>FCRL5</v>
      </c>
      <c r="B5752" t="s">
        <v>5</v>
      </c>
    </row>
    <row r="5753" spans="1:2" x14ac:dyDescent="0.2">
      <c r="A5753" t="str">
        <f>"FCRL6"</f>
        <v>FCRL6</v>
      </c>
      <c r="B5753" t="s">
        <v>5</v>
      </c>
    </row>
    <row r="5754" spans="1:2" x14ac:dyDescent="0.2">
      <c r="A5754" t="str">
        <f>"FCRLA"</f>
        <v>FCRLA</v>
      </c>
      <c r="B5754" t="s">
        <v>5</v>
      </c>
    </row>
    <row r="5755" spans="1:2" x14ac:dyDescent="0.2">
      <c r="A5755" t="str">
        <f>"FCRLB"</f>
        <v>FCRLB</v>
      </c>
      <c r="B5755" t="s">
        <v>4</v>
      </c>
    </row>
    <row r="5756" spans="1:2" x14ac:dyDescent="0.2">
      <c r="A5756" t="str">
        <f>"FDCSP"</f>
        <v>FDCSP</v>
      </c>
      <c r="B5756" t="s">
        <v>4</v>
      </c>
    </row>
    <row r="5757" spans="1:2" x14ac:dyDescent="0.2">
      <c r="A5757" t="str">
        <f>"FDFT1"</f>
        <v>FDFT1</v>
      </c>
      <c r="B5757" t="s">
        <v>6</v>
      </c>
    </row>
    <row r="5758" spans="1:2" x14ac:dyDescent="0.2">
      <c r="A5758" t="str">
        <f>"FDPS"</f>
        <v>FDPS</v>
      </c>
      <c r="B5758" t="s">
        <v>3</v>
      </c>
    </row>
    <row r="5759" spans="1:2" x14ac:dyDescent="0.2">
      <c r="A5759" t="str">
        <f>"FDX1"</f>
        <v>FDX1</v>
      </c>
      <c r="B5759" t="s">
        <v>7</v>
      </c>
    </row>
    <row r="5760" spans="1:2" x14ac:dyDescent="0.2">
      <c r="A5760" t="str">
        <f>"FDX1L"</f>
        <v>FDX1L</v>
      </c>
      <c r="B5760" t="s">
        <v>6</v>
      </c>
    </row>
    <row r="5761" spans="1:2" x14ac:dyDescent="0.2">
      <c r="A5761" t="str">
        <f>"FDXACB1"</f>
        <v>FDXACB1</v>
      </c>
      <c r="B5761" t="s">
        <v>4</v>
      </c>
    </row>
    <row r="5762" spans="1:2" x14ac:dyDescent="0.2">
      <c r="A5762" t="str">
        <f>"FDXR"</f>
        <v>FDXR</v>
      </c>
      <c r="B5762" t="s">
        <v>7</v>
      </c>
    </row>
    <row r="5763" spans="1:2" x14ac:dyDescent="0.2">
      <c r="A5763" t="str">
        <f>"FECH"</f>
        <v>FECH</v>
      </c>
      <c r="B5763" t="s">
        <v>7</v>
      </c>
    </row>
    <row r="5764" spans="1:2" x14ac:dyDescent="0.2">
      <c r="A5764" t="str">
        <f>"FEM1A"</f>
        <v>FEM1A</v>
      </c>
      <c r="B5764" t="s">
        <v>8</v>
      </c>
    </row>
    <row r="5765" spans="1:2" x14ac:dyDescent="0.2">
      <c r="A5765" t="str">
        <f>"FEM1B"</f>
        <v>FEM1B</v>
      </c>
      <c r="B5765" t="s">
        <v>3</v>
      </c>
    </row>
    <row r="5766" spans="1:2" x14ac:dyDescent="0.2">
      <c r="A5766" t="str">
        <f>"FEM1C"</f>
        <v>FEM1C</v>
      </c>
      <c r="B5766" t="s">
        <v>8</v>
      </c>
    </row>
    <row r="5767" spans="1:2" x14ac:dyDescent="0.2">
      <c r="A5767" t="str">
        <f>"FEN1"</f>
        <v>FEN1</v>
      </c>
      <c r="B5767" t="s">
        <v>3</v>
      </c>
    </row>
    <row r="5768" spans="1:2" x14ac:dyDescent="0.2">
      <c r="A5768" t="str">
        <f>"FER"</f>
        <v>FER</v>
      </c>
      <c r="B5768" t="s">
        <v>7</v>
      </c>
    </row>
    <row r="5769" spans="1:2" x14ac:dyDescent="0.2">
      <c r="A5769" t="str">
        <f>"FER1L6"</f>
        <v>FER1L6</v>
      </c>
      <c r="B5769" t="s">
        <v>5</v>
      </c>
    </row>
    <row r="5770" spans="1:2" x14ac:dyDescent="0.2">
      <c r="A5770" t="str">
        <f>"FERD3L"</f>
        <v>FERD3L</v>
      </c>
      <c r="B5770" t="s">
        <v>8</v>
      </c>
    </row>
    <row r="5771" spans="1:2" x14ac:dyDescent="0.2">
      <c r="A5771" t="str">
        <f>"FERMT1"</f>
        <v>FERMT1</v>
      </c>
      <c r="B5771" t="s">
        <v>6</v>
      </c>
    </row>
    <row r="5772" spans="1:2" x14ac:dyDescent="0.2">
      <c r="A5772" t="str">
        <f>"FERMT2"</f>
        <v>FERMT2</v>
      </c>
      <c r="B5772" t="s">
        <v>2</v>
      </c>
    </row>
    <row r="5773" spans="1:2" x14ac:dyDescent="0.2">
      <c r="A5773" t="str">
        <f>"FERMT3"</f>
        <v>FERMT3</v>
      </c>
      <c r="B5773" t="s">
        <v>6</v>
      </c>
    </row>
    <row r="5774" spans="1:2" x14ac:dyDescent="0.2">
      <c r="A5774" t="str">
        <f>"FES"</f>
        <v>FES</v>
      </c>
      <c r="B5774" t="s">
        <v>7</v>
      </c>
    </row>
    <row r="5775" spans="1:2" x14ac:dyDescent="0.2">
      <c r="A5775" t="str">
        <f>"FETUB"</f>
        <v>FETUB</v>
      </c>
      <c r="B5775" t="s">
        <v>2</v>
      </c>
    </row>
    <row r="5776" spans="1:2" x14ac:dyDescent="0.2">
      <c r="A5776" t="str">
        <f>"FEV"</f>
        <v>FEV</v>
      </c>
      <c r="B5776" t="s">
        <v>3</v>
      </c>
    </row>
    <row r="5777" spans="1:2" x14ac:dyDescent="0.2">
      <c r="A5777" t="str">
        <f>"FEZ1"</f>
        <v>FEZ1</v>
      </c>
      <c r="B5777" t="s">
        <v>3</v>
      </c>
    </row>
    <row r="5778" spans="1:2" x14ac:dyDescent="0.2">
      <c r="A5778" t="str">
        <f>"FEZ2"</f>
        <v>FEZ2</v>
      </c>
      <c r="B5778" t="s">
        <v>4</v>
      </c>
    </row>
    <row r="5779" spans="1:2" x14ac:dyDescent="0.2">
      <c r="A5779" t="str">
        <f>"FEZF1"</f>
        <v>FEZF1</v>
      </c>
      <c r="B5779" t="s">
        <v>8</v>
      </c>
    </row>
    <row r="5780" spans="1:2" x14ac:dyDescent="0.2">
      <c r="A5780" t="str">
        <f>"FEZF2"</f>
        <v>FEZF2</v>
      </c>
      <c r="B5780" t="s">
        <v>8</v>
      </c>
    </row>
    <row r="5781" spans="1:2" x14ac:dyDescent="0.2">
      <c r="A5781" t="str">
        <f>"FFAR1"</f>
        <v>FFAR1</v>
      </c>
      <c r="B5781" t="s">
        <v>7</v>
      </c>
    </row>
    <row r="5782" spans="1:2" x14ac:dyDescent="0.2">
      <c r="A5782" t="str">
        <f>"FFAR2"</f>
        <v>FFAR2</v>
      </c>
      <c r="B5782" t="s">
        <v>2</v>
      </c>
    </row>
    <row r="5783" spans="1:2" x14ac:dyDescent="0.2">
      <c r="A5783" t="str">
        <f>"FFAR3"</f>
        <v>FFAR3</v>
      </c>
      <c r="B5783" t="s">
        <v>2</v>
      </c>
    </row>
    <row r="5784" spans="1:2" x14ac:dyDescent="0.2">
      <c r="A5784" t="str">
        <f>"FFAR4"</f>
        <v>FFAR4</v>
      </c>
      <c r="B5784" t="s">
        <v>2</v>
      </c>
    </row>
    <row r="5785" spans="1:2" x14ac:dyDescent="0.2">
      <c r="A5785" t="str">
        <f>"FGA"</f>
        <v>FGA</v>
      </c>
      <c r="B5785" t="s">
        <v>7</v>
      </c>
    </row>
    <row r="5786" spans="1:2" x14ac:dyDescent="0.2">
      <c r="A5786" t="str">
        <f>"FGB"</f>
        <v>FGB</v>
      </c>
      <c r="B5786" t="s">
        <v>7</v>
      </c>
    </row>
    <row r="5787" spans="1:2" x14ac:dyDescent="0.2">
      <c r="A5787" t="str">
        <f>"FGD1"</f>
        <v>FGD1</v>
      </c>
      <c r="B5787" t="s">
        <v>8</v>
      </c>
    </row>
    <row r="5788" spans="1:2" x14ac:dyDescent="0.2">
      <c r="A5788" t="str">
        <f>"FGD2"</f>
        <v>FGD2</v>
      </c>
      <c r="B5788" t="s">
        <v>6</v>
      </c>
    </row>
    <row r="5789" spans="1:2" x14ac:dyDescent="0.2">
      <c r="A5789" t="str">
        <f>"FGD3"</f>
        <v>FGD3</v>
      </c>
      <c r="B5789" t="s">
        <v>6</v>
      </c>
    </row>
    <row r="5790" spans="1:2" x14ac:dyDescent="0.2">
      <c r="A5790" t="str">
        <f>"FGD4"</f>
        <v>FGD4</v>
      </c>
      <c r="B5790" t="s">
        <v>6</v>
      </c>
    </row>
    <row r="5791" spans="1:2" x14ac:dyDescent="0.2">
      <c r="A5791" t="str">
        <f>"FGD5"</f>
        <v>FGD5</v>
      </c>
      <c r="B5791" t="s">
        <v>6</v>
      </c>
    </row>
    <row r="5792" spans="1:2" x14ac:dyDescent="0.2">
      <c r="A5792" t="str">
        <f>"FGD6"</f>
        <v>FGD6</v>
      </c>
      <c r="B5792" t="s">
        <v>6</v>
      </c>
    </row>
    <row r="5793" spans="1:2" x14ac:dyDescent="0.2">
      <c r="A5793" t="str">
        <f>"FGF1"</f>
        <v>FGF1</v>
      </c>
      <c r="B5793" t="s">
        <v>3</v>
      </c>
    </row>
    <row r="5794" spans="1:2" x14ac:dyDescent="0.2">
      <c r="A5794" t="str">
        <f>"FGF10"</f>
        <v>FGF10</v>
      </c>
      <c r="B5794" t="s">
        <v>2</v>
      </c>
    </row>
    <row r="5795" spans="1:2" x14ac:dyDescent="0.2">
      <c r="A5795" t="str">
        <f>"FGF11"</f>
        <v>FGF11</v>
      </c>
      <c r="B5795" t="s">
        <v>4</v>
      </c>
    </row>
    <row r="5796" spans="1:2" x14ac:dyDescent="0.2">
      <c r="A5796" t="str">
        <f>"FGF12"</f>
        <v>FGF12</v>
      </c>
      <c r="B5796" t="s">
        <v>4</v>
      </c>
    </row>
    <row r="5797" spans="1:2" x14ac:dyDescent="0.2">
      <c r="A5797" t="str">
        <f>"FGF13"</f>
        <v>FGF13</v>
      </c>
      <c r="B5797" t="s">
        <v>3</v>
      </c>
    </row>
    <row r="5798" spans="1:2" x14ac:dyDescent="0.2">
      <c r="A5798" t="str">
        <f>"FGF14"</f>
        <v>FGF14</v>
      </c>
      <c r="B5798" t="s">
        <v>3</v>
      </c>
    </row>
    <row r="5799" spans="1:2" x14ac:dyDescent="0.2">
      <c r="A5799" t="str">
        <f>"FGF16"</f>
        <v>FGF16</v>
      </c>
      <c r="B5799" t="s">
        <v>4</v>
      </c>
    </row>
    <row r="5800" spans="1:2" x14ac:dyDescent="0.2">
      <c r="A5800" t="str">
        <f>"FGF17"</f>
        <v>FGF17</v>
      </c>
      <c r="B5800" t="s">
        <v>6</v>
      </c>
    </row>
    <row r="5801" spans="1:2" x14ac:dyDescent="0.2">
      <c r="A5801" t="str">
        <f>"FGF18"</f>
        <v>FGF18</v>
      </c>
      <c r="B5801" t="s">
        <v>8</v>
      </c>
    </row>
    <row r="5802" spans="1:2" x14ac:dyDescent="0.2">
      <c r="A5802" t="str">
        <f>"FGF19"</f>
        <v>FGF19</v>
      </c>
      <c r="B5802" t="s">
        <v>4</v>
      </c>
    </row>
    <row r="5803" spans="1:2" x14ac:dyDescent="0.2">
      <c r="A5803" t="str">
        <f>"FGF2"</f>
        <v>FGF2</v>
      </c>
      <c r="B5803" t="s">
        <v>3</v>
      </c>
    </row>
    <row r="5804" spans="1:2" x14ac:dyDescent="0.2">
      <c r="A5804" t="str">
        <f>"FGF20"</f>
        <v>FGF20</v>
      </c>
      <c r="B5804" t="s">
        <v>3</v>
      </c>
    </row>
    <row r="5805" spans="1:2" x14ac:dyDescent="0.2">
      <c r="A5805" t="str">
        <f>"FGF21"</f>
        <v>FGF21</v>
      </c>
      <c r="B5805" t="s">
        <v>4</v>
      </c>
    </row>
    <row r="5806" spans="1:2" x14ac:dyDescent="0.2">
      <c r="A5806" t="str">
        <f>"FGF22"</f>
        <v>FGF22</v>
      </c>
      <c r="B5806" t="s">
        <v>8</v>
      </c>
    </row>
    <row r="5807" spans="1:2" x14ac:dyDescent="0.2">
      <c r="A5807" t="str">
        <f>"FGF23"</f>
        <v>FGF23</v>
      </c>
      <c r="B5807" t="s">
        <v>3</v>
      </c>
    </row>
    <row r="5808" spans="1:2" x14ac:dyDescent="0.2">
      <c r="A5808" t="str">
        <f>"FGF3"</f>
        <v>FGF3</v>
      </c>
      <c r="B5808" t="s">
        <v>2</v>
      </c>
    </row>
    <row r="5809" spans="1:2" x14ac:dyDescent="0.2">
      <c r="A5809" t="str">
        <f>"FGF4"</f>
        <v>FGF4</v>
      </c>
      <c r="B5809" t="s">
        <v>7</v>
      </c>
    </row>
    <row r="5810" spans="1:2" x14ac:dyDescent="0.2">
      <c r="A5810" t="str">
        <f>"FGF5"</f>
        <v>FGF5</v>
      </c>
      <c r="B5810" t="s">
        <v>4</v>
      </c>
    </row>
    <row r="5811" spans="1:2" x14ac:dyDescent="0.2">
      <c r="A5811" t="str">
        <f>"FGF6"</f>
        <v>FGF6</v>
      </c>
      <c r="B5811" t="s">
        <v>5</v>
      </c>
    </row>
    <row r="5812" spans="1:2" x14ac:dyDescent="0.2">
      <c r="A5812" t="str">
        <f>"FGF7"</f>
        <v>FGF7</v>
      </c>
      <c r="B5812" t="s">
        <v>3</v>
      </c>
    </row>
    <row r="5813" spans="1:2" x14ac:dyDescent="0.2">
      <c r="A5813" t="str">
        <f>"FGF8"</f>
        <v>FGF8</v>
      </c>
      <c r="B5813" t="s">
        <v>2</v>
      </c>
    </row>
    <row r="5814" spans="1:2" x14ac:dyDescent="0.2">
      <c r="A5814" t="str">
        <f>"FGF9"</f>
        <v>FGF9</v>
      </c>
      <c r="B5814" t="s">
        <v>3</v>
      </c>
    </row>
    <row r="5815" spans="1:2" x14ac:dyDescent="0.2">
      <c r="A5815" t="str">
        <f>"FGFBP1"</f>
        <v>FGFBP1</v>
      </c>
      <c r="B5815" t="s">
        <v>8</v>
      </c>
    </row>
    <row r="5816" spans="1:2" x14ac:dyDescent="0.2">
      <c r="A5816" t="str">
        <f>"FGFBP2"</f>
        <v>FGFBP2</v>
      </c>
      <c r="B5816" t="s">
        <v>4</v>
      </c>
    </row>
    <row r="5817" spans="1:2" x14ac:dyDescent="0.2">
      <c r="A5817" t="str">
        <f>"FGFBP3"</f>
        <v>FGFBP3</v>
      </c>
      <c r="B5817" t="s">
        <v>2</v>
      </c>
    </row>
    <row r="5818" spans="1:2" x14ac:dyDescent="0.2">
      <c r="A5818" t="str">
        <f>"FGFR1"</f>
        <v>FGFR1</v>
      </c>
      <c r="B5818" t="s">
        <v>7</v>
      </c>
    </row>
    <row r="5819" spans="1:2" x14ac:dyDescent="0.2">
      <c r="A5819" t="str">
        <f>"FGFR1OP"</f>
        <v>FGFR1OP</v>
      </c>
      <c r="B5819" t="s">
        <v>3</v>
      </c>
    </row>
    <row r="5820" spans="1:2" x14ac:dyDescent="0.2">
      <c r="A5820" t="str">
        <f>"FGFR1OP2"</f>
        <v>FGFR1OP2</v>
      </c>
      <c r="B5820" t="s">
        <v>4</v>
      </c>
    </row>
    <row r="5821" spans="1:2" x14ac:dyDescent="0.2">
      <c r="A5821" t="str">
        <f>"FGFR2"</f>
        <v>FGFR2</v>
      </c>
      <c r="B5821" t="s">
        <v>7</v>
      </c>
    </row>
    <row r="5822" spans="1:2" x14ac:dyDescent="0.2">
      <c r="A5822" t="str">
        <f>"FGFR3"</f>
        <v>FGFR3</v>
      </c>
      <c r="B5822" t="s">
        <v>7</v>
      </c>
    </row>
    <row r="5823" spans="1:2" x14ac:dyDescent="0.2">
      <c r="A5823" t="str">
        <f>"FGFR4"</f>
        <v>FGFR4</v>
      </c>
      <c r="B5823" t="s">
        <v>7</v>
      </c>
    </row>
    <row r="5824" spans="1:2" x14ac:dyDescent="0.2">
      <c r="A5824" t="str">
        <f>"FGFRL1"</f>
        <v>FGFRL1</v>
      </c>
      <c r="B5824" t="s">
        <v>6</v>
      </c>
    </row>
    <row r="5825" spans="1:2" x14ac:dyDescent="0.2">
      <c r="A5825" t="str">
        <f>"FGG"</f>
        <v>FGG</v>
      </c>
      <c r="B5825" t="s">
        <v>7</v>
      </c>
    </row>
    <row r="5826" spans="1:2" x14ac:dyDescent="0.2">
      <c r="A5826" t="str">
        <f>"FGGY"</f>
        <v>FGGY</v>
      </c>
      <c r="B5826" t="s">
        <v>7</v>
      </c>
    </row>
    <row r="5827" spans="1:2" x14ac:dyDescent="0.2">
      <c r="A5827" t="str">
        <f>"FGL1"</f>
        <v>FGL1</v>
      </c>
      <c r="B5827" t="s">
        <v>2</v>
      </c>
    </row>
    <row r="5828" spans="1:2" x14ac:dyDescent="0.2">
      <c r="A5828" t="str">
        <f>"FGL2"</f>
        <v>FGL2</v>
      </c>
      <c r="B5828" t="s">
        <v>4</v>
      </c>
    </row>
    <row r="5829" spans="1:2" x14ac:dyDescent="0.2">
      <c r="A5829" t="str">
        <f>"FGR"</f>
        <v>FGR</v>
      </c>
      <c r="B5829" t="s">
        <v>7</v>
      </c>
    </row>
    <row r="5830" spans="1:2" x14ac:dyDescent="0.2">
      <c r="A5830" t="str">
        <f>"FH"</f>
        <v>FH</v>
      </c>
      <c r="B5830" t="s">
        <v>3</v>
      </c>
    </row>
    <row r="5831" spans="1:2" x14ac:dyDescent="0.2">
      <c r="A5831" t="str">
        <f>"FHAD1"</f>
        <v>FHAD1</v>
      </c>
      <c r="B5831" t="s">
        <v>4</v>
      </c>
    </row>
    <row r="5832" spans="1:2" x14ac:dyDescent="0.2">
      <c r="A5832" t="str">
        <f>"FHDC1"</f>
        <v>FHDC1</v>
      </c>
      <c r="B5832" t="s">
        <v>6</v>
      </c>
    </row>
    <row r="5833" spans="1:2" x14ac:dyDescent="0.2">
      <c r="A5833" t="str">
        <f>"FHIT"</f>
        <v>FHIT</v>
      </c>
      <c r="B5833" t="s">
        <v>3</v>
      </c>
    </row>
    <row r="5834" spans="1:2" x14ac:dyDescent="0.2">
      <c r="A5834" t="str">
        <f>"FHL1"</f>
        <v>FHL1</v>
      </c>
      <c r="B5834" t="s">
        <v>3</v>
      </c>
    </row>
    <row r="5835" spans="1:2" x14ac:dyDescent="0.2">
      <c r="A5835" t="str">
        <f>"FHL2"</f>
        <v>FHL2</v>
      </c>
      <c r="B5835" t="s">
        <v>3</v>
      </c>
    </row>
    <row r="5836" spans="1:2" x14ac:dyDescent="0.2">
      <c r="A5836" t="str">
        <f>"FHL3"</f>
        <v>FHL3</v>
      </c>
      <c r="B5836" t="s">
        <v>6</v>
      </c>
    </row>
    <row r="5837" spans="1:2" x14ac:dyDescent="0.2">
      <c r="A5837" t="str">
        <f>"FHL5"</f>
        <v>FHL5</v>
      </c>
      <c r="B5837" t="s">
        <v>4</v>
      </c>
    </row>
    <row r="5838" spans="1:2" x14ac:dyDescent="0.2">
      <c r="A5838" t="str">
        <f>"FHOD1"</f>
        <v>FHOD1</v>
      </c>
      <c r="B5838" t="s">
        <v>6</v>
      </c>
    </row>
    <row r="5839" spans="1:2" x14ac:dyDescent="0.2">
      <c r="A5839" t="str">
        <f>"FHOD3"</f>
        <v>FHOD3</v>
      </c>
      <c r="B5839" t="s">
        <v>6</v>
      </c>
    </row>
    <row r="5840" spans="1:2" x14ac:dyDescent="0.2">
      <c r="A5840" t="str">
        <f>"FIBCD1"</f>
        <v>FIBCD1</v>
      </c>
      <c r="B5840" t="s">
        <v>5</v>
      </c>
    </row>
    <row r="5841" spans="1:2" x14ac:dyDescent="0.2">
      <c r="A5841" t="str">
        <f>"FIBIN"</f>
        <v>FIBIN</v>
      </c>
      <c r="B5841" t="s">
        <v>8</v>
      </c>
    </row>
    <row r="5842" spans="1:2" x14ac:dyDescent="0.2">
      <c r="A5842" t="str">
        <f>"FIBP"</f>
        <v>FIBP</v>
      </c>
      <c r="B5842" t="s">
        <v>6</v>
      </c>
    </row>
    <row r="5843" spans="1:2" x14ac:dyDescent="0.2">
      <c r="A5843" t="str">
        <f>"FICD"</f>
        <v>FICD</v>
      </c>
      <c r="B5843" t="s">
        <v>3</v>
      </c>
    </row>
    <row r="5844" spans="1:2" x14ac:dyDescent="0.2">
      <c r="A5844" t="str">
        <f>"FIG4"</f>
        <v>FIG4</v>
      </c>
      <c r="B5844" t="s">
        <v>2</v>
      </c>
    </row>
    <row r="5845" spans="1:2" x14ac:dyDescent="0.2">
      <c r="A5845" t="str">
        <f>"FIGF"</f>
        <v>FIGF</v>
      </c>
      <c r="B5845" t="s">
        <v>3</v>
      </c>
    </row>
    <row r="5846" spans="1:2" x14ac:dyDescent="0.2">
      <c r="A5846" t="str">
        <f>"FIGLA"</f>
        <v>FIGLA</v>
      </c>
      <c r="B5846" t="s">
        <v>8</v>
      </c>
    </row>
    <row r="5847" spans="1:2" x14ac:dyDescent="0.2">
      <c r="A5847" t="str">
        <f>"FIGN"</f>
        <v>FIGN</v>
      </c>
      <c r="B5847" t="s">
        <v>4</v>
      </c>
    </row>
    <row r="5848" spans="1:2" x14ac:dyDescent="0.2">
      <c r="A5848" t="str">
        <f>"FIGNL1"</f>
        <v>FIGNL1</v>
      </c>
      <c r="B5848" t="s">
        <v>4</v>
      </c>
    </row>
    <row r="5849" spans="1:2" x14ac:dyDescent="0.2">
      <c r="A5849" t="str">
        <f>"FIGNL2"</f>
        <v>FIGNL2</v>
      </c>
      <c r="B5849" t="s">
        <v>2</v>
      </c>
    </row>
    <row r="5850" spans="1:2" x14ac:dyDescent="0.2">
      <c r="A5850" t="str">
        <f>"FILIP1"</f>
        <v>FILIP1</v>
      </c>
      <c r="B5850" t="s">
        <v>4</v>
      </c>
    </row>
    <row r="5851" spans="1:2" x14ac:dyDescent="0.2">
      <c r="A5851" t="str">
        <f>"FILIP1L"</f>
        <v>FILIP1L</v>
      </c>
      <c r="B5851" t="s">
        <v>4</v>
      </c>
    </row>
    <row r="5852" spans="1:2" x14ac:dyDescent="0.2">
      <c r="A5852" t="str">
        <f>"FIP1L1"</f>
        <v>FIP1L1</v>
      </c>
      <c r="B5852" t="s">
        <v>3</v>
      </c>
    </row>
    <row r="5853" spans="1:2" x14ac:dyDescent="0.2">
      <c r="A5853" t="str">
        <f>"FIS1"</f>
        <v>FIS1</v>
      </c>
      <c r="B5853" t="s">
        <v>6</v>
      </c>
    </row>
    <row r="5854" spans="1:2" x14ac:dyDescent="0.2">
      <c r="A5854" t="str">
        <f>"FITM1"</f>
        <v>FITM1</v>
      </c>
      <c r="B5854" t="s">
        <v>5</v>
      </c>
    </row>
    <row r="5855" spans="1:2" x14ac:dyDescent="0.2">
      <c r="A5855" t="str">
        <f>"FITM2"</f>
        <v>FITM2</v>
      </c>
      <c r="B5855" t="s">
        <v>2</v>
      </c>
    </row>
    <row r="5856" spans="1:2" x14ac:dyDescent="0.2">
      <c r="A5856" t="str">
        <f>"FIZ1"</f>
        <v>FIZ1</v>
      </c>
      <c r="B5856" t="s">
        <v>8</v>
      </c>
    </row>
    <row r="5857" spans="1:2" x14ac:dyDescent="0.2">
      <c r="A5857" t="str">
        <f>"FJX1"</f>
        <v>FJX1</v>
      </c>
      <c r="B5857" t="s">
        <v>3</v>
      </c>
    </row>
    <row r="5858" spans="1:2" x14ac:dyDescent="0.2">
      <c r="A5858" t="str">
        <f>"FKBP10"</f>
        <v>FKBP10</v>
      </c>
      <c r="B5858" t="s">
        <v>2</v>
      </c>
    </row>
    <row r="5859" spans="1:2" x14ac:dyDescent="0.2">
      <c r="A5859" t="str">
        <f>"FKBP11"</f>
        <v>FKBP11</v>
      </c>
      <c r="B5859" t="s">
        <v>2</v>
      </c>
    </row>
    <row r="5860" spans="1:2" x14ac:dyDescent="0.2">
      <c r="A5860" t="str">
        <f>"FKBP14"</f>
        <v>FKBP14</v>
      </c>
      <c r="B5860" t="s">
        <v>2</v>
      </c>
    </row>
    <row r="5861" spans="1:2" x14ac:dyDescent="0.2">
      <c r="A5861" t="str">
        <f>"FKBP15"</f>
        <v>FKBP15</v>
      </c>
      <c r="B5861" t="s">
        <v>2</v>
      </c>
    </row>
    <row r="5862" spans="1:2" x14ac:dyDescent="0.2">
      <c r="A5862" t="str">
        <f>"FKBP1A"</f>
        <v>FKBP1A</v>
      </c>
      <c r="B5862" t="s">
        <v>3</v>
      </c>
    </row>
    <row r="5863" spans="1:2" x14ac:dyDescent="0.2">
      <c r="A5863" t="str">
        <f>"FKBP1B"</f>
        <v>FKBP1B</v>
      </c>
      <c r="B5863" t="s">
        <v>2</v>
      </c>
    </row>
    <row r="5864" spans="1:2" x14ac:dyDescent="0.2">
      <c r="A5864" t="str">
        <f>"FKBP2"</f>
        <v>FKBP2</v>
      </c>
      <c r="B5864" t="s">
        <v>2</v>
      </c>
    </row>
    <row r="5865" spans="1:2" x14ac:dyDescent="0.2">
      <c r="A5865" t="str">
        <f>"FKBP3"</f>
        <v>FKBP3</v>
      </c>
      <c r="B5865" t="s">
        <v>2</v>
      </c>
    </row>
    <row r="5866" spans="1:2" x14ac:dyDescent="0.2">
      <c r="A5866" t="str">
        <f>"FKBP4"</f>
        <v>FKBP4</v>
      </c>
      <c r="B5866" t="s">
        <v>2</v>
      </c>
    </row>
    <row r="5867" spans="1:2" x14ac:dyDescent="0.2">
      <c r="A5867" t="str">
        <f>"FKBP5"</f>
        <v>FKBP5</v>
      </c>
      <c r="B5867" t="s">
        <v>2</v>
      </c>
    </row>
    <row r="5868" spans="1:2" x14ac:dyDescent="0.2">
      <c r="A5868" t="str">
        <f>"FKBP6"</f>
        <v>FKBP6</v>
      </c>
      <c r="B5868" t="s">
        <v>2</v>
      </c>
    </row>
    <row r="5869" spans="1:2" x14ac:dyDescent="0.2">
      <c r="A5869" t="str">
        <f>"FKBP7"</f>
        <v>FKBP7</v>
      </c>
      <c r="B5869" t="s">
        <v>2</v>
      </c>
    </row>
    <row r="5870" spans="1:2" x14ac:dyDescent="0.2">
      <c r="A5870" t="str">
        <f>"FKBP8"</f>
        <v>FKBP8</v>
      </c>
      <c r="B5870" t="s">
        <v>3</v>
      </c>
    </row>
    <row r="5871" spans="1:2" x14ac:dyDescent="0.2">
      <c r="A5871" t="str">
        <f>"FKBP9"</f>
        <v>FKBP9</v>
      </c>
      <c r="B5871" t="s">
        <v>3</v>
      </c>
    </row>
    <row r="5872" spans="1:2" x14ac:dyDescent="0.2">
      <c r="A5872" t="str">
        <f>"FKBPL"</f>
        <v>FKBPL</v>
      </c>
      <c r="B5872" t="s">
        <v>2</v>
      </c>
    </row>
    <row r="5873" spans="1:2" x14ac:dyDescent="0.2">
      <c r="A5873" t="str">
        <f>"FKRP"</f>
        <v>FKRP</v>
      </c>
      <c r="B5873" t="s">
        <v>6</v>
      </c>
    </row>
    <row r="5874" spans="1:2" x14ac:dyDescent="0.2">
      <c r="A5874" t="str">
        <f>"FKTN"</f>
        <v>FKTN</v>
      </c>
      <c r="B5874" t="s">
        <v>4</v>
      </c>
    </row>
    <row r="5875" spans="1:2" x14ac:dyDescent="0.2">
      <c r="A5875" t="str">
        <f>"FLAD1"</f>
        <v>FLAD1</v>
      </c>
      <c r="B5875" t="s">
        <v>3</v>
      </c>
    </row>
    <row r="5876" spans="1:2" x14ac:dyDescent="0.2">
      <c r="A5876" t="str">
        <f>"FLCN"</f>
        <v>FLCN</v>
      </c>
      <c r="B5876" t="s">
        <v>3</v>
      </c>
    </row>
    <row r="5877" spans="1:2" x14ac:dyDescent="0.2">
      <c r="A5877" t="str">
        <f>"FLG"</f>
        <v>FLG</v>
      </c>
      <c r="B5877" t="s">
        <v>2</v>
      </c>
    </row>
    <row r="5878" spans="1:2" x14ac:dyDescent="0.2">
      <c r="A5878" t="str">
        <f>"FLG2"</f>
        <v>FLG2</v>
      </c>
      <c r="B5878" t="s">
        <v>4</v>
      </c>
    </row>
    <row r="5879" spans="1:2" x14ac:dyDescent="0.2">
      <c r="A5879" t="str">
        <f>"FLI1"</f>
        <v>FLI1</v>
      </c>
      <c r="B5879" t="s">
        <v>3</v>
      </c>
    </row>
    <row r="5880" spans="1:2" x14ac:dyDescent="0.2">
      <c r="A5880" t="str">
        <f>"FLII"</f>
        <v>FLII</v>
      </c>
      <c r="B5880" t="s">
        <v>3</v>
      </c>
    </row>
    <row r="5881" spans="1:2" x14ac:dyDescent="0.2">
      <c r="A5881" t="str">
        <f>"FLJ22184"</f>
        <v>FLJ22184</v>
      </c>
      <c r="B5881" t="s">
        <v>4</v>
      </c>
    </row>
    <row r="5882" spans="1:2" x14ac:dyDescent="0.2">
      <c r="A5882" t="str">
        <f>"FLJ25363"</f>
        <v>FLJ25363</v>
      </c>
      <c r="B5882" t="s">
        <v>5</v>
      </c>
    </row>
    <row r="5883" spans="1:2" x14ac:dyDescent="0.2">
      <c r="A5883" t="str">
        <f>"FLJ44313"</f>
        <v>FLJ44313</v>
      </c>
      <c r="B5883" t="s">
        <v>4</v>
      </c>
    </row>
    <row r="5884" spans="1:2" x14ac:dyDescent="0.2">
      <c r="A5884" t="str">
        <f>"FLJ44635"</f>
        <v>FLJ44635</v>
      </c>
      <c r="B5884" t="s">
        <v>3</v>
      </c>
    </row>
    <row r="5885" spans="1:2" x14ac:dyDescent="0.2">
      <c r="A5885" t="str">
        <f>"FLJ45513"</f>
        <v>FLJ45513</v>
      </c>
      <c r="B5885" t="s">
        <v>4</v>
      </c>
    </row>
    <row r="5886" spans="1:2" x14ac:dyDescent="0.2">
      <c r="A5886" t="str">
        <f>"FLNA"</f>
        <v>FLNA</v>
      </c>
      <c r="B5886" t="s">
        <v>3</v>
      </c>
    </row>
    <row r="5887" spans="1:2" x14ac:dyDescent="0.2">
      <c r="A5887" t="str">
        <f>"FLNB"</f>
        <v>FLNB</v>
      </c>
      <c r="B5887" t="s">
        <v>3</v>
      </c>
    </row>
    <row r="5888" spans="1:2" x14ac:dyDescent="0.2">
      <c r="A5888" t="str">
        <f>"FLNC"</f>
        <v>FLNC</v>
      </c>
      <c r="B5888" t="s">
        <v>3</v>
      </c>
    </row>
    <row r="5889" spans="1:2" x14ac:dyDescent="0.2">
      <c r="A5889" t="str">
        <f>"FLOT1"</f>
        <v>FLOT1</v>
      </c>
      <c r="B5889" t="s">
        <v>2</v>
      </c>
    </row>
    <row r="5890" spans="1:2" x14ac:dyDescent="0.2">
      <c r="A5890" t="str">
        <f>"FLOT2"</f>
        <v>FLOT2</v>
      </c>
      <c r="B5890" t="s">
        <v>2</v>
      </c>
    </row>
    <row r="5891" spans="1:2" x14ac:dyDescent="0.2">
      <c r="A5891" t="str">
        <f>"FLRT1"</f>
        <v>FLRT1</v>
      </c>
      <c r="B5891" t="s">
        <v>5</v>
      </c>
    </row>
    <row r="5892" spans="1:2" x14ac:dyDescent="0.2">
      <c r="A5892" t="str">
        <f>"FLRT2"</f>
        <v>FLRT2</v>
      </c>
      <c r="B5892" t="s">
        <v>2</v>
      </c>
    </row>
    <row r="5893" spans="1:2" x14ac:dyDescent="0.2">
      <c r="A5893" t="str">
        <f>"FLRT3"</f>
        <v>FLRT3</v>
      </c>
      <c r="B5893" t="s">
        <v>5</v>
      </c>
    </row>
    <row r="5894" spans="1:2" x14ac:dyDescent="0.2">
      <c r="A5894" t="str">
        <f>"FLT1"</f>
        <v>FLT1</v>
      </c>
      <c r="B5894" t="s">
        <v>7</v>
      </c>
    </row>
    <row r="5895" spans="1:2" x14ac:dyDescent="0.2">
      <c r="A5895" t="str">
        <f>"FLT3"</f>
        <v>FLT3</v>
      </c>
      <c r="B5895" t="s">
        <v>7</v>
      </c>
    </row>
    <row r="5896" spans="1:2" x14ac:dyDescent="0.2">
      <c r="A5896" t="str">
        <f>"FLT3LG"</f>
        <v>FLT3LG</v>
      </c>
      <c r="B5896" t="s">
        <v>7</v>
      </c>
    </row>
    <row r="5897" spans="1:2" x14ac:dyDescent="0.2">
      <c r="A5897" t="str">
        <f>"FLT4"</f>
        <v>FLT4</v>
      </c>
      <c r="B5897" t="s">
        <v>7</v>
      </c>
    </row>
    <row r="5898" spans="1:2" x14ac:dyDescent="0.2">
      <c r="A5898" t="str">
        <f>"FLVCR1"</f>
        <v>FLVCR1</v>
      </c>
      <c r="B5898" t="s">
        <v>5</v>
      </c>
    </row>
    <row r="5899" spans="1:2" x14ac:dyDescent="0.2">
      <c r="A5899" t="str">
        <f>"FLVCR2"</f>
        <v>FLVCR2</v>
      </c>
      <c r="B5899" t="s">
        <v>5</v>
      </c>
    </row>
    <row r="5900" spans="1:2" x14ac:dyDescent="0.2">
      <c r="A5900" t="str">
        <f>"FLYWCH1"</f>
        <v>FLYWCH1</v>
      </c>
      <c r="B5900" t="s">
        <v>4</v>
      </c>
    </row>
    <row r="5901" spans="1:2" x14ac:dyDescent="0.2">
      <c r="A5901" t="str">
        <f>"FLYWCH2"</f>
        <v>FLYWCH2</v>
      </c>
      <c r="B5901" t="s">
        <v>4</v>
      </c>
    </row>
    <row r="5902" spans="1:2" x14ac:dyDescent="0.2">
      <c r="A5902" t="str">
        <f>"FMN1"</f>
        <v>FMN1</v>
      </c>
      <c r="B5902" t="s">
        <v>6</v>
      </c>
    </row>
    <row r="5903" spans="1:2" x14ac:dyDescent="0.2">
      <c r="A5903" t="str">
        <f>"FMN2"</f>
        <v>FMN2</v>
      </c>
      <c r="B5903" t="s">
        <v>6</v>
      </c>
    </row>
    <row r="5904" spans="1:2" x14ac:dyDescent="0.2">
      <c r="A5904" t="str">
        <f>"FMNL1"</f>
        <v>FMNL1</v>
      </c>
      <c r="B5904" t="s">
        <v>6</v>
      </c>
    </row>
    <row r="5905" spans="1:2" x14ac:dyDescent="0.2">
      <c r="A5905" t="str">
        <f>"FMNL2"</f>
        <v>FMNL2</v>
      </c>
      <c r="B5905" t="s">
        <v>2</v>
      </c>
    </row>
    <row r="5906" spans="1:2" x14ac:dyDescent="0.2">
      <c r="A5906" t="str">
        <f>"FMNL3"</f>
        <v>FMNL3</v>
      </c>
      <c r="B5906" t="s">
        <v>6</v>
      </c>
    </row>
    <row r="5907" spans="1:2" x14ac:dyDescent="0.2">
      <c r="A5907" t="str">
        <f>"FMO1"</f>
        <v>FMO1</v>
      </c>
      <c r="B5907" t="s">
        <v>2</v>
      </c>
    </row>
    <row r="5908" spans="1:2" x14ac:dyDescent="0.2">
      <c r="A5908" t="str">
        <f>"FMO2"</f>
        <v>FMO2</v>
      </c>
      <c r="B5908" t="s">
        <v>2</v>
      </c>
    </row>
    <row r="5909" spans="1:2" x14ac:dyDescent="0.2">
      <c r="A5909" t="str">
        <f>"FMO3"</f>
        <v>FMO3</v>
      </c>
      <c r="B5909" t="s">
        <v>2</v>
      </c>
    </row>
    <row r="5910" spans="1:2" x14ac:dyDescent="0.2">
      <c r="A5910" t="str">
        <f>"FMO4"</f>
        <v>FMO4</v>
      </c>
      <c r="B5910" t="s">
        <v>2</v>
      </c>
    </row>
    <row r="5911" spans="1:2" x14ac:dyDescent="0.2">
      <c r="A5911" t="str">
        <f>"FMO5"</f>
        <v>FMO5</v>
      </c>
      <c r="B5911" t="s">
        <v>2</v>
      </c>
    </row>
    <row r="5912" spans="1:2" x14ac:dyDescent="0.2">
      <c r="A5912" t="str">
        <f>"FMOD"</f>
        <v>FMOD</v>
      </c>
      <c r="B5912" t="s">
        <v>3</v>
      </c>
    </row>
    <row r="5913" spans="1:2" x14ac:dyDescent="0.2">
      <c r="A5913" t="str">
        <f>"FMR1"</f>
        <v>FMR1</v>
      </c>
      <c r="B5913" t="s">
        <v>8</v>
      </c>
    </row>
    <row r="5914" spans="1:2" x14ac:dyDescent="0.2">
      <c r="A5914" t="str">
        <f>"FMR1NB"</f>
        <v>FMR1NB</v>
      </c>
      <c r="B5914" t="s">
        <v>5</v>
      </c>
    </row>
    <row r="5915" spans="1:2" x14ac:dyDescent="0.2">
      <c r="A5915" t="str">
        <f>"FN1"</f>
        <v>FN1</v>
      </c>
      <c r="B5915" t="s">
        <v>3</v>
      </c>
    </row>
    <row r="5916" spans="1:2" x14ac:dyDescent="0.2">
      <c r="A5916" t="str">
        <f>"FN3K"</f>
        <v>FN3K</v>
      </c>
      <c r="B5916" t="s">
        <v>7</v>
      </c>
    </row>
    <row r="5917" spans="1:2" x14ac:dyDescent="0.2">
      <c r="A5917" t="str">
        <f>"FN3KRP"</f>
        <v>FN3KRP</v>
      </c>
      <c r="B5917" t="s">
        <v>7</v>
      </c>
    </row>
    <row r="5918" spans="1:2" x14ac:dyDescent="0.2">
      <c r="A5918" t="str">
        <f>"FNBP1"</f>
        <v>FNBP1</v>
      </c>
      <c r="B5918" t="s">
        <v>3</v>
      </c>
    </row>
    <row r="5919" spans="1:2" x14ac:dyDescent="0.2">
      <c r="A5919" t="str">
        <f>"FNBP1L"</f>
        <v>FNBP1L</v>
      </c>
      <c r="B5919" t="s">
        <v>6</v>
      </c>
    </row>
    <row r="5920" spans="1:2" x14ac:dyDescent="0.2">
      <c r="A5920" t="str">
        <f>"FNBP4"</f>
        <v>FNBP4</v>
      </c>
      <c r="B5920" t="s">
        <v>4</v>
      </c>
    </row>
    <row r="5921" spans="1:2" x14ac:dyDescent="0.2">
      <c r="A5921" t="str">
        <f>"FNDC1"</f>
        <v>FNDC1</v>
      </c>
      <c r="B5921" t="s">
        <v>4</v>
      </c>
    </row>
    <row r="5922" spans="1:2" x14ac:dyDescent="0.2">
      <c r="A5922" t="str">
        <f>"FNDC3A"</f>
        <v>FNDC3A</v>
      </c>
      <c r="B5922" t="s">
        <v>2</v>
      </c>
    </row>
    <row r="5923" spans="1:2" x14ac:dyDescent="0.2">
      <c r="A5923" t="str">
        <f>"FNDC3B"</f>
        <v>FNDC3B</v>
      </c>
      <c r="B5923" t="s">
        <v>5</v>
      </c>
    </row>
    <row r="5924" spans="1:2" x14ac:dyDescent="0.2">
      <c r="A5924" t="str">
        <f>"FNDC4"</f>
        <v>FNDC4</v>
      </c>
      <c r="B5924" t="s">
        <v>5</v>
      </c>
    </row>
    <row r="5925" spans="1:2" x14ac:dyDescent="0.2">
      <c r="A5925" t="str">
        <f>"FNDC5"</f>
        <v>FNDC5</v>
      </c>
      <c r="B5925" t="s">
        <v>5</v>
      </c>
    </row>
    <row r="5926" spans="1:2" x14ac:dyDescent="0.2">
      <c r="A5926" t="str">
        <f>"FNDC7"</f>
        <v>FNDC7</v>
      </c>
      <c r="B5926" t="s">
        <v>4</v>
      </c>
    </row>
    <row r="5927" spans="1:2" x14ac:dyDescent="0.2">
      <c r="A5927" t="str">
        <f>"FNDC8"</f>
        <v>FNDC8</v>
      </c>
      <c r="B5927" t="s">
        <v>4</v>
      </c>
    </row>
    <row r="5928" spans="1:2" x14ac:dyDescent="0.2">
      <c r="A5928" t="str">
        <f>"FNDC9"</f>
        <v>FNDC9</v>
      </c>
      <c r="B5928" t="s">
        <v>5</v>
      </c>
    </row>
    <row r="5929" spans="1:2" x14ac:dyDescent="0.2">
      <c r="A5929" t="str">
        <f>"FNIP1"</f>
        <v>FNIP1</v>
      </c>
      <c r="B5929" t="s">
        <v>4</v>
      </c>
    </row>
    <row r="5930" spans="1:2" x14ac:dyDescent="0.2">
      <c r="A5930" t="str">
        <f>"FNIP2"</f>
        <v>FNIP2</v>
      </c>
      <c r="B5930" t="s">
        <v>4</v>
      </c>
    </row>
    <row r="5931" spans="1:2" x14ac:dyDescent="0.2">
      <c r="A5931" t="str">
        <f>"FNTA"</f>
        <v>FNTA</v>
      </c>
      <c r="B5931" t="s">
        <v>7</v>
      </c>
    </row>
    <row r="5932" spans="1:2" x14ac:dyDescent="0.2">
      <c r="A5932" t="str">
        <f>"FNTB"</f>
        <v>FNTB</v>
      </c>
      <c r="B5932" t="s">
        <v>7</v>
      </c>
    </row>
    <row r="5933" spans="1:2" x14ac:dyDescent="0.2">
      <c r="A5933" t="str">
        <f>"FOCAD"</f>
        <v>FOCAD</v>
      </c>
      <c r="B5933" t="s">
        <v>5</v>
      </c>
    </row>
    <row r="5934" spans="1:2" x14ac:dyDescent="0.2">
      <c r="A5934" t="str">
        <f>"FOLH1"</f>
        <v>FOLH1</v>
      </c>
      <c r="B5934" t="s">
        <v>7</v>
      </c>
    </row>
    <row r="5935" spans="1:2" x14ac:dyDescent="0.2">
      <c r="A5935" t="str">
        <f>"FOLR1"</f>
        <v>FOLR1</v>
      </c>
      <c r="B5935" t="s">
        <v>2</v>
      </c>
    </row>
    <row r="5936" spans="1:2" x14ac:dyDescent="0.2">
      <c r="A5936" t="str">
        <f>"FOLR2"</f>
        <v>FOLR2</v>
      </c>
      <c r="B5936" t="s">
        <v>7</v>
      </c>
    </row>
    <row r="5937" spans="1:2" x14ac:dyDescent="0.2">
      <c r="A5937" t="str">
        <f>"FOLR3"</f>
        <v>FOLR3</v>
      </c>
      <c r="B5937" t="s">
        <v>7</v>
      </c>
    </row>
    <row r="5938" spans="1:2" x14ac:dyDescent="0.2">
      <c r="A5938" t="str">
        <f>"FOLR4"</f>
        <v>FOLR4</v>
      </c>
      <c r="B5938" t="s">
        <v>4</v>
      </c>
    </row>
    <row r="5939" spans="1:2" x14ac:dyDescent="0.2">
      <c r="A5939" t="str">
        <f>"FOPNL"</f>
        <v>FOPNL</v>
      </c>
      <c r="B5939" t="s">
        <v>4</v>
      </c>
    </row>
    <row r="5940" spans="1:2" x14ac:dyDescent="0.2">
      <c r="A5940" t="str">
        <f>"FOS"</f>
        <v>FOS</v>
      </c>
      <c r="B5940" t="s">
        <v>3</v>
      </c>
    </row>
    <row r="5941" spans="1:2" x14ac:dyDescent="0.2">
      <c r="A5941" t="str">
        <f>"FOSB"</f>
        <v>FOSB</v>
      </c>
      <c r="B5941" t="s">
        <v>3</v>
      </c>
    </row>
    <row r="5942" spans="1:2" x14ac:dyDescent="0.2">
      <c r="A5942" t="str">
        <f>"FOSL1"</f>
        <v>FOSL1</v>
      </c>
      <c r="B5942" t="s">
        <v>3</v>
      </c>
    </row>
    <row r="5943" spans="1:2" x14ac:dyDescent="0.2">
      <c r="A5943" t="str">
        <f>"FOSL2"</f>
        <v>FOSL2</v>
      </c>
      <c r="B5943" t="s">
        <v>8</v>
      </c>
    </row>
    <row r="5944" spans="1:2" x14ac:dyDescent="0.2">
      <c r="A5944" t="str">
        <f>"FOXA1"</f>
        <v>FOXA1</v>
      </c>
      <c r="B5944" t="s">
        <v>2</v>
      </c>
    </row>
    <row r="5945" spans="1:2" x14ac:dyDescent="0.2">
      <c r="A5945" t="str">
        <f>"FOXA2"</f>
        <v>FOXA2</v>
      </c>
      <c r="B5945" t="s">
        <v>2</v>
      </c>
    </row>
    <row r="5946" spans="1:2" x14ac:dyDescent="0.2">
      <c r="A5946" t="str">
        <f>"FOXA3"</f>
        <v>FOXA3</v>
      </c>
      <c r="B5946" t="s">
        <v>2</v>
      </c>
    </row>
    <row r="5947" spans="1:2" x14ac:dyDescent="0.2">
      <c r="A5947" t="str">
        <f>"FOXB1"</f>
        <v>FOXB1</v>
      </c>
      <c r="B5947" t="s">
        <v>8</v>
      </c>
    </row>
    <row r="5948" spans="1:2" x14ac:dyDescent="0.2">
      <c r="A5948" t="str">
        <f>"FOXB2"</f>
        <v>FOXB2</v>
      </c>
      <c r="B5948" t="s">
        <v>8</v>
      </c>
    </row>
    <row r="5949" spans="1:2" x14ac:dyDescent="0.2">
      <c r="A5949" t="str">
        <f>"FOXC1"</f>
        <v>FOXC1</v>
      </c>
      <c r="B5949" t="s">
        <v>3</v>
      </c>
    </row>
    <row r="5950" spans="1:2" x14ac:dyDescent="0.2">
      <c r="A5950" t="str">
        <f>"FOXC2"</f>
        <v>FOXC2</v>
      </c>
      <c r="B5950" t="s">
        <v>8</v>
      </c>
    </row>
    <row r="5951" spans="1:2" x14ac:dyDescent="0.2">
      <c r="A5951" t="str">
        <f>"FOXD1"</f>
        <v>FOXD1</v>
      </c>
      <c r="B5951" t="s">
        <v>8</v>
      </c>
    </row>
    <row r="5952" spans="1:2" x14ac:dyDescent="0.2">
      <c r="A5952" t="str">
        <f>"FOXD2"</f>
        <v>FOXD2</v>
      </c>
      <c r="B5952" t="s">
        <v>8</v>
      </c>
    </row>
    <row r="5953" spans="1:2" x14ac:dyDescent="0.2">
      <c r="A5953" t="str">
        <f>"FOXD3"</f>
        <v>FOXD3</v>
      </c>
      <c r="B5953" t="s">
        <v>8</v>
      </c>
    </row>
    <row r="5954" spans="1:2" x14ac:dyDescent="0.2">
      <c r="A5954" t="str">
        <f>"FOXD4"</f>
        <v>FOXD4</v>
      </c>
      <c r="B5954" t="s">
        <v>8</v>
      </c>
    </row>
    <row r="5955" spans="1:2" x14ac:dyDescent="0.2">
      <c r="A5955" t="str">
        <f>"FOXD4L1"</f>
        <v>FOXD4L1</v>
      </c>
      <c r="B5955" t="s">
        <v>8</v>
      </c>
    </row>
    <row r="5956" spans="1:2" x14ac:dyDescent="0.2">
      <c r="A5956" t="str">
        <f>"FOXE1"</f>
        <v>FOXE1</v>
      </c>
      <c r="B5956" t="s">
        <v>8</v>
      </c>
    </row>
    <row r="5957" spans="1:2" x14ac:dyDescent="0.2">
      <c r="A5957" t="str">
        <f>"FOXE3"</f>
        <v>FOXE3</v>
      </c>
      <c r="B5957" t="s">
        <v>8</v>
      </c>
    </row>
    <row r="5958" spans="1:2" x14ac:dyDescent="0.2">
      <c r="A5958" t="str">
        <f>"FOXF1"</f>
        <v>FOXF1</v>
      </c>
      <c r="B5958" t="s">
        <v>8</v>
      </c>
    </row>
    <row r="5959" spans="1:2" x14ac:dyDescent="0.2">
      <c r="A5959" t="str">
        <f>"FOXF2"</f>
        <v>FOXF2</v>
      </c>
      <c r="B5959" t="s">
        <v>2</v>
      </c>
    </row>
    <row r="5960" spans="1:2" x14ac:dyDescent="0.2">
      <c r="A5960" t="str">
        <f>"FOXG1"</f>
        <v>FOXG1</v>
      </c>
      <c r="B5960" t="s">
        <v>3</v>
      </c>
    </row>
    <row r="5961" spans="1:2" x14ac:dyDescent="0.2">
      <c r="A5961" t="str">
        <f>"FOXH1"</f>
        <v>FOXH1</v>
      </c>
      <c r="B5961" t="s">
        <v>8</v>
      </c>
    </row>
    <row r="5962" spans="1:2" x14ac:dyDescent="0.2">
      <c r="A5962" t="str">
        <f>"FOXI1"</f>
        <v>FOXI1</v>
      </c>
      <c r="B5962" t="s">
        <v>3</v>
      </c>
    </row>
    <row r="5963" spans="1:2" x14ac:dyDescent="0.2">
      <c r="A5963" t="str">
        <f>"FOXI2"</f>
        <v>FOXI2</v>
      </c>
      <c r="B5963" t="s">
        <v>8</v>
      </c>
    </row>
    <row r="5964" spans="1:2" x14ac:dyDescent="0.2">
      <c r="A5964" t="str">
        <f>"FOXI3"</f>
        <v>FOXI3</v>
      </c>
      <c r="B5964" t="s">
        <v>4</v>
      </c>
    </row>
    <row r="5965" spans="1:2" x14ac:dyDescent="0.2">
      <c r="A5965" t="str">
        <f>"FOXJ1"</f>
        <v>FOXJ1</v>
      </c>
      <c r="B5965" t="s">
        <v>8</v>
      </c>
    </row>
    <row r="5966" spans="1:2" x14ac:dyDescent="0.2">
      <c r="A5966" t="str">
        <f>"FOXJ2"</f>
        <v>FOXJ2</v>
      </c>
      <c r="B5966" t="s">
        <v>8</v>
      </c>
    </row>
    <row r="5967" spans="1:2" x14ac:dyDescent="0.2">
      <c r="A5967" t="str">
        <f>"FOXJ3"</f>
        <v>FOXJ3</v>
      </c>
      <c r="B5967" t="s">
        <v>8</v>
      </c>
    </row>
    <row r="5968" spans="1:2" x14ac:dyDescent="0.2">
      <c r="A5968" t="str">
        <f>"FOXK1"</f>
        <v>FOXK1</v>
      </c>
      <c r="B5968" t="s">
        <v>8</v>
      </c>
    </row>
    <row r="5969" spans="1:2" x14ac:dyDescent="0.2">
      <c r="A5969" t="str">
        <f>"FOXK2"</f>
        <v>FOXK2</v>
      </c>
      <c r="B5969" t="s">
        <v>8</v>
      </c>
    </row>
    <row r="5970" spans="1:2" x14ac:dyDescent="0.2">
      <c r="A5970" t="str">
        <f>"FOXL1"</f>
        <v>FOXL1</v>
      </c>
      <c r="B5970" t="s">
        <v>8</v>
      </c>
    </row>
    <row r="5971" spans="1:2" x14ac:dyDescent="0.2">
      <c r="A5971" t="str">
        <f>"FOXL2"</f>
        <v>FOXL2</v>
      </c>
      <c r="B5971" t="s">
        <v>3</v>
      </c>
    </row>
    <row r="5972" spans="1:2" x14ac:dyDescent="0.2">
      <c r="A5972" t="str">
        <f>"FOXM1"</f>
        <v>FOXM1</v>
      </c>
      <c r="B5972" t="s">
        <v>8</v>
      </c>
    </row>
    <row r="5973" spans="1:2" x14ac:dyDescent="0.2">
      <c r="A5973" t="str">
        <f>"FOXN1"</f>
        <v>FOXN1</v>
      </c>
      <c r="B5973" t="s">
        <v>8</v>
      </c>
    </row>
    <row r="5974" spans="1:2" x14ac:dyDescent="0.2">
      <c r="A5974" t="str">
        <f>"FOXN2"</f>
        <v>FOXN2</v>
      </c>
      <c r="B5974" t="s">
        <v>8</v>
      </c>
    </row>
    <row r="5975" spans="1:2" x14ac:dyDescent="0.2">
      <c r="A5975" t="str">
        <f>"FOXN3"</f>
        <v>FOXN3</v>
      </c>
      <c r="B5975" t="s">
        <v>3</v>
      </c>
    </row>
    <row r="5976" spans="1:2" x14ac:dyDescent="0.2">
      <c r="A5976" t="str">
        <f>"FOXN4"</f>
        <v>FOXN4</v>
      </c>
      <c r="B5976" t="s">
        <v>8</v>
      </c>
    </row>
    <row r="5977" spans="1:2" x14ac:dyDescent="0.2">
      <c r="A5977" t="str">
        <f>"FOXO1"</f>
        <v>FOXO1</v>
      </c>
      <c r="B5977" t="s">
        <v>3</v>
      </c>
    </row>
    <row r="5978" spans="1:2" x14ac:dyDescent="0.2">
      <c r="A5978" t="str">
        <f>"FOXO3"</f>
        <v>FOXO3</v>
      </c>
      <c r="B5978" t="s">
        <v>3</v>
      </c>
    </row>
    <row r="5979" spans="1:2" x14ac:dyDescent="0.2">
      <c r="A5979" t="str">
        <f>"FOXO4"</f>
        <v>FOXO4</v>
      </c>
      <c r="B5979" t="s">
        <v>3</v>
      </c>
    </row>
    <row r="5980" spans="1:2" x14ac:dyDescent="0.2">
      <c r="A5980" t="str">
        <f>"FOXO6"</f>
        <v>FOXO6</v>
      </c>
      <c r="B5980" t="s">
        <v>8</v>
      </c>
    </row>
    <row r="5981" spans="1:2" x14ac:dyDescent="0.2">
      <c r="A5981" t="str">
        <f>"FOXP1"</f>
        <v>FOXP1</v>
      </c>
      <c r="B5981" t="s">
        <v>8</v>
      </c>
    </row>
    <row r="5982" spans="1:2" x14ac:dyDescent="0.2">
      <c r="A5982" t="str">
        <f>"FOXP2"</f>
        <v>FOXP2</v>
      </c>
      <c r="B5982" t="s">
        <v>8</v>
      </c>
    </row>
    <row r="5983" spans="1:2" x14ac:dyDescent="0.2">
      <c r="A5983" t="str">
        <f>"FOXP3"</f>
        <v>FOXP3</v>
      </c>
      <c r="B5983" t="s">
        <v>8</v>
      </c>
    </row>
    <row r="5984" spans="1:2" x14ac:dyDescent="0.2">
      <c r="A5984" t="str">
        <f>"FOXP4"</f>
        <v>FOXP4</v>
      </c>
      <c r="B5984" t="s">
        <v>8</v>
      </c>
    </row>
    <row r="5985" spans="1:2" x14ac:dyDescent="0.2">
      <c r="A5985" t="str">
        <f>"FOXQ1"</f>
        <v>FOXQ1</v>
      </c>
      <c r="B5985" t="s">
        <v>8</v>
      </c>
    </row>
    <row r="5986" spans="1:2" x14ac:dyDescent="0.2">
      <c r="A5986" t="str">
        <f>"FOXR1"</f>
        <v>FOXR1</v>
      </c>
      <c r="B5986" t="s">
        <v>8</v>
      </c>
    </row>
    <row r="5987" spans="1:2" x14ac:dyDescent="0.2">
      <c r="A5987" t="str">
        <f>"FOXR2"</f>
        <v>FOXR2</v>
      </c>
      <c r="B5987" t="s">
        <v>8</v>
      </c>
    </row>
    <row r="5988" spans="1:2" x14ac:dyDescent="0.2">
      <c r="A5988" t="str">
        <f>"FOXRED1"</f>
        <v>FOXRED1</v>
      </c>
      <c r="B5988" t="s">
        <v>2</v>
      </c>
    </row>
    <row r="5989" spans="1:2" x14ac:dyDescent="0.2">
      <c r="A5989" t="str">
        <f>"FOXRED2"</f>
        <v>FOXRED2</v>
      </c>
      <c r="B5989" t="s">
        <v>6</v>
      </c>
    </row>
    <row r="5990" spans="1:2" x14ac:dyDescent="0.2">
      <c r="A5990" t="str">
        <f>"FOXS1"</f>
        <v>FOXS1</v>
      </c>
      <c r="B5990" t="s">
        <v>8</v>
      </c>
    </row>
    <row r="5991" spans="1:2" x14ac:dyDescent="0.2">
      <c r="A5991" t="str">
        <f>"FPGS"</f>
        <v>FPGS</v>
      </c>
      <c r="B5991" t="s">
        <v>7</v>
      </c>
    </row>
    <row r="5992" spans="1:2" x14ac:dyDescent="0.2">
      <c r="A5992" t="str">
        <f>"FPGT"</f>
        <v>FPGT</v>
      </c>
      <c r="B5992" t="s">
        <v>3</v>
      </c>
    </row>
    <row r="5993" spans="1:2" x14ac:dyDescent="0.2">
      <c r="A5993" t="str">
        <f>"FPGT-TNNI3K"</f>
        <v>FPGT-TNNI3K</v>
      </c>
      <c r="B5993" t="s">
        <v>4</v>
      </c>
    </row>
    <row r="5994" spans="1:2" x14ac:dyDescent="0.2">
      <c r="A5994" t="str">
        <f>"FPR1"</f>
        <v>FPR1</v>
      </c>
      <c r="B5994" t="s">
        <v>7</v>
      </c>
    </row>
    <row r="5995" spans="1:2" x14ac:dyDescent="0.2">
      <c r="A5995" t="str">
        <f>"FPR2"</f>
        <v>FPR2</v>
      </c>
      <c r="B5995" t="s">
        <v>5</v>
      </c>
    </row>
    <row r="5996" spans="1:2" x14ac:dyDescent="0.2">
      <c r="A5996" t="str">
        <f>"FPR3"</f>
        <v>FPR3</v>
      </c>
      <c r="B5996" t="s">
        <v>5</v>
      </c>
    </row>
    <row r="5997" spans="1:2" x14ac:dyDescent="0.2">
      <c r="A5997" t="str">
        <f>"FRA10AC1"</f>
        <v>FRA10AC1</v>
      </c>
      <c r="B5997" t="s">
        <v>4</v>
      </c>
    </row>
    <row r="5998" spans="1:2" x14ac:dyDescent="0.2">
      <c r="A5998" t="str">
        <f>"FRAS1"</f>
        <v>FRAS1</v>
      </c>
      <c r="B5998" t="s">
        <v>4</v>
      </c>
    </row>
    <row r="5999" spans="1:2" x14ac:dyDescent="0.2">
      <c r="A5999" t="str">
        <f>"FRAT1"</f>
        <v>FRAT1</v>
      </c>
      <c r="B5999" t="s">
        <v>3</v>
      </c>
    </row>
    <row r="6000" spans="1:2" x14ac:dyDescent="0.2">
      <c r="A6000" t="str">
        <f>"FRAT2"</f>
        <v>FRAT2</v>
      </c>
      <c r="B6000" t="s">
        <v>4</v>
      </c>
    </row>
    <row r="6001" spans="1:2" x14ac:dyDescent="0.2">
      <c r="A6001" t="str">
        <f>"FREM1"</f>
        <v>FREM1</v>
      </c>
      <c r="B6001" t="s">
        <v>3</v>
      </c>
    </row>
    <row r="6002" spans="1:2" x14ac:dyDescent="0.2">
      <c r="A6002" t="str">
        <f>"FREM2"</f>
        <v>FREM2</v>
      </c>
      <c r="B6002" t="s">
        <v>5</v>
      </c>
    </row>
    <row r="6003" spans="1:2" x14ac:dyDescent="0.2">
      <c r="A6003" t="str">
        <f>"FREM3"</f>
        <v>FREM3</v>
      </c>
      <c r="B6003" t="s">
        <v>6</v>
      </c>
    </row>
    <row r="6004" spans="1:2" x14ac:dyDescent="0.2">
      <c r="A6004" t="str">
        <f>"FRG1"</f>
        <v>FRG1</v>
      </c>
      <c r="B6004" t="s">
        <v>8</v>
      </c>
    </row>
    <row r="6005" spans="1:2" x14ac:dyDescent="0.2">
      <c r="A6005" t="str">
        <f>"FRG2"</f>
        <v>FRG2</v>
      </c>
      <c r="B6005" t="s">
        <v>4</v>
      </c>
    </row>
    <row r="6006" spans="1:2" x14ac:dyDescent="0.2">
      <c r="A6006" t="str">
        <f>"FRG2B"</f>
        <v>FRG2B</v>
      </c>
      <c r="B6006" t="s">
        <v>4</v>
      </c>
    </row>
    <row r="6007" spans="1:2" x14ac:dyDescent="0.2">
      <c r="A6007" t="str">
        <f>"FRG2C"</f>
        <v>FRG2C</v>
      </c>
      <c r="B6007" t="s">
        <v>4</v>
      </c>
    </row>
    <row r="6008" spans="1:2" x14ac:dyDescent="0.2">
      <c r="A6008" t="str">
        <f>"FRK"</f>
        <v>FRK</v>
      </c>
      <c r="B6008" t="s">
        <v>7</v>
      </c>
    </row>
    <row r="6009" spans="1:2" x14ac:dyDescent="0.2">
      <c r="A6009" t="str">
        <f>"FRMD1"</f>
        <v>FRMD1</v>
      </c>
      <c r="B6009" t="s">
        <v>6</v>
      </c>
    </row>
    <row r="6010" spans="1:2" x14ac:dyDescent="0.2">
      <c r="A6010" t="str">
        <f>"FRMD3"</f>
        <v>FRMD3</v>
      </c>
      <c r="B6010" t="s">
        <v>6</v>
      </c>
    </row>
    <row r="6011" spans="1:2" x14ac:dyDescent="0.2">
      <c r="A6011" t="str">
        <f>"FRMD4A"</f>
        <v>FRMD4A</v>
      </c>
      <c r="B6011" t="s">
        <v>6</v>
      </c>
    </row>
    <row r="6012" spans="1:2" x14ac:dyDescent="0.2">
      <c r="A6012" t="str">
        <f>"FRMD4B"</f>
        <v>FRMD4B</v>
      </c>
      <c r="B6012" t="s">
        <v>6</v>
      </c>
    </row>
    <row r="6013" spans="1:2" x14ac:dyDescent="0.2">
      <c r="A6013" t="str">
        <f>"FRMD5"</f>
        <v>FRMD5</v>
      </c>
      <c r="B6013" t="s">
        <v>8</v>
      </c>
    </row>
    <row r="6014" spans="1:2" x14ac:dyDescent="0.2">
      <c r="A6014" t="str">
        <f>"FRMD6"</f>
        <v>FRMD6</v>
      </c>
      <c r="B6014" t="s">
        <v>2</v>
      </c>
    </row>
    <row r="6015" spans="1:2" x14ac:dyDescent="0.2">
      <c r="A6015" t="str">
        <f>"FRMD7"</f>
        <v>FRMD7</v>
      </c>
      <c r="B6015" t="s">
        <v>6</v>
      </c>
    </row>
    <row r="6016" spans="1:2" x14ac:dyDescent="0.2">
      <c r="A6016" t="str">
        <f>"FRMD8"</f>
        <v>FRMD8</v>
      </c>
      <c r="B6016" t="s">
        <v>6</v>
      </c>
    </row>
    <row r="6017" spans="1:2" x14ac:dyDescent="0.2">
      <c r="A6017" t="str">
        <f>"FRMPD1"</f>
        <v>FRMPD1</v>
      </c>
      <c r="B6017" t="s">
        <v>6</v>
      </c>
    </row>
    <row r="6018" spans="1:2" x14ac:dyDescent="0.2">
      <c r="A6018" t="str">
        <f>"FRMPD2"</f>
        <v>FRMPD2</v>
      </c>
      <c r="B6018" t="s">
        <v>6</v>
      </c>
    </row>
    <row r="6019" spans="1:2" x14ac:dyDescent="0.2">
      <c r="A6019" t="str">
        <f>"FRMPD3"</f>
        <v>FRMPD3</v>
      </c>
      <c r="B6019" t="s">
        <v>6</v>
      </c>
    </row>
    <row r="6020" spans="1:2" x14ac:dyDescent="0.2">
      <c r="A6020" t="str">
        <f>"FRMPD4"</f>
        <v>FRMPD4</v>
      </c>
      <c r="B6020" t="s">
        <v>3</v>
      </c>
    </row>
    <row r="6021" spans="1:2" x14ac:dyDescent="0.2">
      <c r="A6021" t="str">
        <f>"FRRS1"</f>
        <v>FRRS1</v>
      </c>
      <c r="B6021" t="s">
        <v>5</v>
      </c>
    </row>
    <row r="6022" spans="1:2" x14ac:dyDescent="0.2">
      <c r="A6022" t="str">
        <f>"FRRS1L"</f>
        <v>FRRS1L</v>
      </c>
      <c r="B6022" t="s">
        <v>5</v>
      </c>
    </row>
    <row r="6023" spans="1:2" x14ac:dyDescent="0.2">
      <c r="A6023" t="str">
        <f>"FRS2"</f>
        <v>FRS2</v>
      </c>
      <c r="B6023" t="s">
        <v>3</v>
      </c>
    </row>
    <row r="6024" spans="1:2" x14ac:dyDescent="0.2">
      <c r="A6024" t="str">
        <f>"FRS3"</f>
        <v>FRS3</v>
      </c>
      <c r="B6024" t="s">
        <v>4</v>
      </c>
    </row>
    <row r="6025" spans="1:2" x14ac:dyDescent="0.2">
      <c r="A6025" t="str">
        <f>"FRY"</f>
        <v>FRY</v>
      </c>
      <c r="B6025" t="s">
        <v>3</v>
      </c>
    </row>
    <row r="6026" spans="1:2" x14ac:dyDescent="0.2">
      <c r="A6026" t="str">
        <f>"FRYL"</f>
        <v>FRYL</v>
      </c>
      <c r="B6026" t="s">
        <v>5</v>
      </c>
    </row>
    <row r="6027" spans="1:2" x14ac:dyDescent="0.2">
      <c r="A6027" t="str">
        <f>"FRZB"</f>
        <v>FRZB</v>
      </c>
      <c r="B6027" t="s">
        <v>4</v>
      </c>
    </row>
    <row r="6028" spans="1:2" x14ac:dyDescent="0.2">
      <c r="A6028" t="str">
        <f>"FSBP"</f>
        <v>FSBP</v>
      </c>
      <c r="B6028" t="s">
        <v>4</v>
      </c>
    </row>
    <row r="6029" spans="1:2" x14ac:dyDescent="0.2">
      <c r="A6029" t="str">
        <f>"FSCB"</f>
        <v>FSCB</v>
      </c>
      <c r="B6029" t="s">
        <v>3</v>
      </c>
    </row>
    <row r="6030" spans="1:2" x14ac:dyDescent="0.2">
      <c r="A6030" t="str">
        <f>"FSCN1"</f>
        <v>FSCN1</v>
      </c>
      <c r="B6030" t="s">
        <v>6</v>
      </c>
    </row>
    <row r="6031" spans="1:2" x14ac:dyDescent="0.2">
      <c r="A6031" t="str">
        <f>"FSCN2"</f>
        <v>FSCN2</v>
      </c>
      <c r="B6031" t="s">
        <v>6</v>
      </c>
    </row>
    <row r="6032" spans="1:2" x14ac:dyDescent="0.2">
      <c r="A6032" t="str">
        <f>"FSCN3"</f>
        <v>FSCN3</v>
      </c>
      <c r="B6032" t="s">
        <v>6</v>
      </c>
    </row>
    <row r="6033" spans="1:2" x14ac:dyDescent="0.2">
      <c r="A6033" t="str">
        <f>"FSD1"</f>
        <v>FSD1</v>
      </c>
      <c r="B6033" t="s">
        <v>4</v>
      </c>
    </row>
    <row r="6034" spans="1:2" x14ac:dyDescent="0.2">
      <c r="A6034" t="str">
        <f>"FSD1L"</f>
        <v>FSD1L</v>
      </c>
      <c r="B6034" t="s">
        <v>4</v>
      </c>
    </row>
    <row r="6035" spans="1:2" x14ac:dyDescent="0.2">
      <c r="A6035" t="str">
        <f>"FSD2"</f>
        <v>FSD2</v>
      </c>
      <c r="B6035" t="s">
        <v>4</v>
      </c>
    </row>
    <row r="6036" spans="1:2" x14ac:dyDescent="0.2">
      <c r="A6036" t="str">
        <f>"FSHB"</f>
        <v>FSHB</v>
      </c>
      <c r="B6036" t="s">
        <v>4</v>
      </c>
    </row>
    <row r="6037" spans="1:2" x14ac:dyDescent="0.2">
      <c r="A6037" t="str">
        <f>"FSHR"</f>
        <v>FSHR</v>
      </c>
      <c r="B6037" t="s">
        <v>7</v>
      </c>
    </row>
    <row r="6038" spans="1:2" x14ac:dyDescent="0.2">
      <c r="A6038" t="str">
        <f>"FSIP1"</f>
        <v>FSIP1</v>
      </c>
      <c r="B6038" t="s">
        <v>2</v>
      </c>
    </row>
    <row r="6039" spans="1:2" x14ac:dyDescent="0.2">
      <c r="A6039" t="str">
        <f>"FSIP2"</f>
        <v>FSIP2</v>
      </c>
      <c r="B6039" t="s">
        <v>3</v>
      </c>
    </row>
    <row r="6040" spans="1:2" x14ac:dyDescent="0.2">
      <c r="A6040" t="str">
        <f>"FST"</f>
        <v>FST</v>
      </c>
      <c r="B6040" t="s">
        <v>7</v>
      </c>
    </row>
    <row r="6041" spans="1:2" x14ac:dyDescent="0.2">
      <c r="A6041" t="str">
        <f>"FSTL1"</f>
        <v>FSTL1</v>
      </c>
      <c r="B6041" t="s">
        <v>4</v>
      </c>
    </row>
    <row r="6042" spans="1:2" x14ac:dyDescent="0.2">
      <c r="A6042" t="str">
        <f>"FSTL3"</f>
        <v>FSTL3</v>
      </c>
      <c r="B6042" t="s">
        <v>3</v>
      </c>
    </row>
    <row r="6043" spans="1:2" x14ac:dyDescent="0.2">
      <c r="A6043" t="str">
        <f>"FSTL4"</f>
        <v>FSTL4</v>
      </c>
      <c r="B6043" t="s">
        <v>4</v>
      </c>
    </row>
    <row r="6044" spans="1:2" x14ac:dyDescent="0.2">
      <c r="A6044" t="str">
        <f>"FSTL5"</f>
        <v>FSTL5</v>
      </c>
      <c r="B6044" t="s">
        <v>3</v>
      </c>
    </row>
    <row r="6045" spans="1:2" x14ac:dyDescent="0.2">
      <c r="A6045" t="str">
        <f>"FTCD"</f>
        <v>FTCD</v>
      </c>
      <c r="B6045" t="s">
        <v>7</v>
      </c>
    </row>
    <row r="6046" spans="1:2" x14ac:dyDescent="0.2">
      <c r="A6046" t="str">
        <f>"FTH1"</f>
        <v>FTH1</v>
      </c>
      <c r="B6046" t="s">
        <v>7</v>
      </c>
    </row>
    <row r="6047" spans="1:2" x14ac:dyDescent="0.2">
      <c r="A6047" t="str">
        <f>"FTHL17"</f>
        <v>FTHL17</v>
      </c>
      <c r="B6047" t="s">
        <v>4</v>
      </c>
    </row>
    <row r="6048" spans="1:2" x14ac:dyDescent="0.2">
      <c r="A6048" t="str">
        <f>"FTL"</f>
        <v>FTL</v>
      </c>
      <c r="B6048" t="s">
        <v>7</v>
      </c>
    </row>
    <row r="6049" spans="1:2" x14ac:dyDescent="0.2">
      <c r="A6049" t="str">
        <f>"FTMT"</f>
        <v>FTMT</v>
      </c>
      <c r="B6049" t="s">
        <v>6</v>
      </c>
    </row>
    <row r="6050" spans="1:2" x14ac:dyDescent="0.2">
      <c r="A6050" t="str">
        <f>"FTO"</f>
        <v>FTO</v>
      </c>
      <c r="B6050" t="s">
        <v>4</v>
      </c>
    </row>
    <row r="6051" spans="1:2" x14ac:dyDescent="0.2">
      <c r="A6051" t="str">
        <f>"FTSJ1"</f>
        <v>FTSJ1</v>
      </c>
      <c r="B6051" t="s">
        <v>2</v>
      </c>
    </row>
    <row r="6052" spans="1:2" x14ac:dyDescent="0.2">
      <c r="A6052" t="str">
        <f>"FTSJ2"</f>
        <v>FTSJ2</v>
      </c>
      <c r="B6052" t="s">
        <v>6</v>
      </c>
    </row>
    <row r="6053" spans="1:2" x14ac:dyDescent="0.2">
      <c r="A6053" t="str">
        <f>"FTSJ3"</f>
        <v>FTSJ3</v>
      </c>
      <c r="B6053" t="s">
        <v>8</v>
      </c>
    </row>
    <row r="6054" spans="1:2" x14ac:dyDescent="0.2">
      <c r="A6054" t="str">
        <f>"FUBP1"</f>
        <v>FUBP1</v>
      </c>
      <c r="B6054" t="s">
        <v>8</v>
      </c>
    </row>
    <row r="6055" spans="1:2" x14ac:dyDescent="0.2">
      <c r="A6055" t="str">
        <f>"FUBP3"</f>
        <v>FUBP3</v>
      </c>
      <c r="B6055" t="s">
        <v>8</v>
      </c>
    </row>
    <row r="6056" spans="1:2" x14ac:dyDescent="0.2">
      <c r="A6056" t="str">
        <f>"FUCA1"</f>
        <v>FUCA1</v>
      </c>
      <c r="B6056" t="s">
        <v>2</v>
      </c>
    </row>
    <row r="6057" spans="1:2" x14ac:dyDescent="0.2">
      <c r="A6057" t="str">
        <f>"FUCA2"</f>
        <v>FUCA2</v>
      </c>
      <c r="B6057" t="s">
        <v>5</v>
      </c>
    </row>
    <row r="6058" spans="1:2" x14ac:dyDescent="0.2">
      <c r="A6058" t="str">
        <f>"FUK"</f>
        <v>FUK</v>
      </c>
      <c r="B6058" t="s">
        <v>7</v>
      </c>
    </row>
    <row r="6059" spans="1:2" x14ac:dyDescent="0.2">
      <c r="A6059" t="str">
        <f>"FUNDC1"</f>
        <v>FUNDC1</v>
      </c>
      <c r="B6059" t="s">
        <v>2</v>
      </c>
    </row>
    <row r="6060" spans="1:2" x14ac:dyDescent="0.2">
      <c r="A6060" t="str">
        <f>"FUNDC2"</f>
        <v>FUNDC2</v>
      </c>
      <c r="B6060" t="s">
        <v>6</v>
      </c>
    </row>
    <row r="6061" spans="1:2" x14ac:dyDescent="0.2">
      <c r="A6061" t="str">
        <f>"FUOM"</f>
        <v>FUOM</v>
      </c>
      <c r="B6061" t="s">
        <v>4</v>
      </c>
    </row>
    <row r="6062" spans="1:2" x14ac:dyDescent="0.2">
      <c r="A6062" t="str">
        <f>"FURIN"</f>
        <v>FURIN</v>
      </c>
      <c r="B6062" t="s">
        <v>3</v>
      </c>
    </row>
    <row r="6063" spans="1:2" x14ac:dyDescent="0.2">
      <c r="A6063" t="str">
        <f>"FUS"</f>
        <v>FUS</v>
      </c>
      <c r="B6063" t="s">
        <v>3</v>
      </c>
    </row>
    <row r="6064" spans="1:2" x14ac:dyDescent="0.2">
      <c r="A6064" t="str">
        <f>"FUT1"</f>
        <v>FUT1</v>
      </c>
      <c r="B6064" t="s">
        <v>3</v>
      </c>
    </row>
    <row r="6065" spans="1:2" x14ac:dyDescent="0.2">
      <c r="A6065" t="str">
        <f>"FUT10"</f>
        <v>FUT10</v>
      </c>
      <c r="B6065" t="s">
        <v>2</v>
      </c>
    </row>
    <row r="6066" spans="1:2" x14ac:dyDescent="0.2">
      <c r="A6066" t="str">
        <f>"FUT11"</f>
        <v>FUT11</v>
      </c>
      <c r="B6066" t="s">
        <v>3</v>
      </c>
    </row>
    <row r="6067" spans="1:2" x14ac:dyDescent="0.2">
      <c r="A6067" t="str">
        <f>"FUT2"</f>
        <v>FUT2</v>
      </c>
      <c r="B6067" t="s">
        <v>5</v>
      </c>
    </row>
    <row r="6068" spans="1:2" x14ac:dyDescent="0.2">
      <c r="A6068" t="str">
        <f>"FUT3"</f>
        <v>FUT3</v>
      </c>
      <c r="B6068" t="s">
        <v>3</v>
      </c>
    </row>
    <row r="6069" spans="1:2" x14ac:dyDescent="0.2">
      <c r="A6069" t="str">
        <f>"FUT4"</f>
        <v>FUT4</v>
      </c>
      <c r="B6069" t="s">
        <v>5</v>
      </c>
    </row>
    <row r="6070" spans="1:2" x14ac:dyDescent="0.2">
      <c r="A6070" t="str">
        <f>"FUT5"</f>
        <v>FUT5</v>
      </c>
      <c r="B6070" t="s">
        <v>5</v>
      </c>
    </row>
    <row r="6071" spans="1:2" x14ac:dyDescent="0.2">
      <c r="A6071" t="str">
        <f>"FUT6"</f>
        <v>FUT6</v>
      </c>
      <c r="B6071" t="s">
        <v>5</v>
      </c>
    </row>
    <row r="6072" spans="1:2" x14ac:dyDescent="0.2">
      <c r="A6072" t="str">
        <f>"FUT7"</f>
        <v>FUT7</v>
      </c>
      <c r="B6072" t="s">
        <v>5</v>
      </c>
    </row>
    <row r="6073" spans="1:2" x14ac:dyDescent="0.2">
      <c r="A6073" t="str">
        <f>"FUT8"</f>
        <v>FUT8</v>
      </c>
      <c r="B6073" t="s">
        <v>3</v>
      </c>
    </row>
    <row r="6074" spans="1:2" x14ac:dyDescent="0.2">
      <c r="A6074" t="str">
        <f>"FUT9"</f>
        <v>FUT9</v>
      </c>
      <c r="B6074" t="s">
        <v>3</v>
      </c>
    </row>
    <row r="6075" spans="1:2" x14ac:dyDescent="0.2">
      <c r="A6075" t="str">
        <f>"FUZ"</f>
        <v>FUZ</v>
      </c>
      <c r="B6075" t="s">
        <v>6</v>
      </c>
    </row>
    <row r="6076" spans="1:2" x14ac:dyDescent="0.2">
      <c r="A6076" t="str">
        <f>"FXN"</f>
        <v>FXN</v>
      </c>
      <c r="B6076" t="s">
        <v>2</v>
      </c>
    </row>
    <row r="6077" spans="1:2" x14ac:dyDescent="0.2">
      <c r="A6077" t="str">
        <f>"FXR1"</f>
        <v>FXR1</v>
      </c>
      <c r="B6077" t="s">
        <v>3</v>
      </c>
    </row>
    <row r="6078" spans="1:2" x14ac:dyDescent="0.2">
      <c r="A6078" t="str">
        <f>"FXR2"</f>
        <v>FXR2</v>
      </c>
      <c r="B6078" t="s">
        <v>8</v>
      </c>
    </row>
    <row r="6079" spans="1:2" x14ac:dyDescent="0.2">
      <c r="A6079" t="str">
        <f>"FXYD1"</f>
        <v>FXYD1</v>
      </c>
      <c r="B6079" t="s">
        <v>3</v>
      </c>
    </row>
    <row r="6080" spans="1:2" x14ac:dyDescent="0.2">
      <c r="A6080" t="str">
        <f>"FXYD2"</f>
        <v>FXYD2</v>
      </c>
      <c r="B6080" t="s">
        <v>7</v>
      </c>
    </row>
    <row r="6081" spans="1:2" x14ac:dyDescent="0.2">
      <c r="A6081" t="str">
        <f>"FXYD3"</f>
        <v>FXYD3</v>
      </c>
      <c r="B6081" t="s">
        <v>5</v>
      </c>
    </row>
    <row r="6082" spans="1:2" x14ac:dyDescent="0.2">
      <c r="A6082" t="str">
        <f>"FXYD4"</f>
        <v>FXYD4</v>
      </c>
      <c r="B6082" t="s">
        <v>5</v>
      </c>
    </row>
    <row r="6083" spans="1:2" x14ac:dyDescent="0.2">
      <c r="A6083" t="str">
        <f>"FXYD5"</f>
        <v>FXYD5</v>
      </c>
      <c r="B6083" t="s">
        <v>5</v>
      </c>
    </row>
    <row r="6084" spans="1:2" x14ac:dyDescent="0.2">
      <c r="A6084" t="str">
        <f>"FXYD6"</f>
        <v>FXYD6</v>
      </c>
      <c r="B6084" t="s">
        <v>5</v>
      </c>
    </row>
    <row r="6085" spans="1:2" x14ac:dyDescent="0.2">
      <c r="A6085" t="str">
        <f>"FXYD6-FXYD2"</f>
        <v>FXYD6-FXYD2</v>
      </c>
      <c r="B6085" t="s">
        <v>4</v>
      </c>
    </row>
    <row r="6086" spans="1:2" x14ac:dyDescent="0.2">
      <c r="A6086" t="str">
        <f>"FXYD7"</f>
        <v>FXYD7</v>
      </c>
      <c r="B6086" t="s">
        <v>5</v>
      </c>
    </row>
    <row r="6087" spans="1:2" x14ac:dyDescent="0.2">
      <c r="A6087" t="str">
        <f>"FYB"</f>
        <v>FYB</v>
      </c>
      <c r="B6087" t="s">
        <v>6</v>
      </c>
    </row>
    <row r="6088" spans="1:2" x14ac:dyDescent="0.2">
      <c r="A6088" t="str">
        <f>"FYCO1"</f>
        <v>FYCO1</v>
      </c>
      <c r="B6088" t="s">
        <v>4</v>
      </c>
    </row>
    <row r="6089" spans="1:2" x14ac:dyDescent="0.2">
      <c r="A6089" t="str">
        <f>"FYN"</f>
        <v>FYN</v>
      </c>
      <c r="B6089" t="s">
        <v>7</v>
      </c>
    </row>
    <row r="6090" spans="1:2" x14ac:dyDescent="0.2">
      <c r="A6090" t="str">
        <f>"FYTTD1"</f>
        <v>FYTTD1</v>
      </c>
      <c r="B6090" t="s">
        <v>4</v>
      </c>
    </row>
    <row r="6091" spans="1:2" x14ac:dyDescent="0.2">
      <c r="A6091" t="str">
        <f>"FZD1"</f>
        <v>FZD1</v>
      </c>
      <c r="B6091" t="s">
        <v>3</v>
      </c>
    </row>
    <row r="6092" spans="1:2" x14ac:dyDescent="0.2">
      <c r="A6092" t="str">
        <f>"FZD10"</f>
        <v>FZD10</v>
      </c>
      <c r="B6092" t="s">
        <v>3</v>
      </c>
    </row>
    <row r="6093" spans="1:2" x14ac:dyDescent="0.2">
      <c r="A6093" t="str">
        <f>"FZD2"</f>
        <v>FZD2</v>
      </c>
      <c r="B6093" t="s">
        <v>5</v>
      </c>
    </row>
    <row r="6094" spans="1:2" x14ac:dyDescent="0.2">
      <c r="A6094" t="str">
        <f>"FZD3"</f>
        <v>FZD3</v>
      </c>
      <c r="B6094" t="s">
        <v>3</v>
      </c>
    </row>
    <row r="6095" spans="1:2" x14ac:dyDescent="0.2">
      <c r="A6095" t="str">
        <f>"FZD4"</f>
        <v>FZD4</v>
      </c>
      <c r="B6095" t="s">
        <v>5</v>
      </c>
    </row>
    <row r="6096" spans="1:2" x14ac:dyDescent="0.2">
      <c r="A6096" t="str">
        <f>"FZD5"</f>
        <v>FZD5</v>
      </c>
      <c r="B6096" t="s">
        <v>5</v>
      </c>
    </row>
    <row r="6097" spans="1:2" x14ac:dyDescent="0.2">
      <c r="A6097" t="str">
        <f>"FZD6"</f>
        <v>FZD6</v>
      </c>
      <c r="B6097" t="s">
        <v>3</v>
      </c>
    </row>
    <row r="6098" spans="1:2" x14ac:dyDescent="0.2">
      <c r="A6098" t="str">
        <f>"FZD7"</f>
        <v>FZD7</v>
      </c>
      <c r="B6098" t="s">
        <v>3</v>
      </c>
    </row>
    <row r="6099" spans="1:2" x14ac:dyDescent="0.2">
      <c r="A6099" t="str">
        <f>"FZD8"</f>
        <v>FZD8</v>
      </c>
      <c r="B6099" t="s">
        <v>3</v>
      </c>
    </row>
    <row r="6100" spans="1:2" x14ac:dyDescent="0.2">
      <c r="A6100" t="str">
        <f>"FZD9"</f>
        <v>FZD9</v>
      </c>
      <c r="B6100" t="s">
        <v>5</v>
      </c>
    </row>
    <row r="6101" spans="1:2" x14ac:dyDescent="0.2">
      <c r="A6101" t="str">
        <f>"FZR1"</f>
        <v>FZR1</v>
      </c>
      <c r="B6101" t="s">
        <v>3</v>
      </c>
    </row>
    <row r="6102" spans="1:2" x14ac:dyDescent="0.2">
      <c r="A6102" t="str">
        <f>"G0S2"</f>
        <v>G0S2</v>
      </c>
      <c r="B6102" t="s">
        <v>3</v>
      </c>
    </row>
    <row r="6103" spans="1:2" x14ac:dyDescent="0.2">
      <c r="A6103" t="str">
        <f>"G2E3"</f>
        <v>G2E3</v>
      </c>
      <c r="B6103" t="s">
        <v>2</v>
      </c>
    </row>
    <row r="6104" spans="1:2" x14ac:dyDescent="0.2">
      <c r="A6104" t="str">
        <f>"G3BP1"</f>
        <v>G3BP1</v>
      </c>
      <c r="B6104" t="s">
        <v>2</v>
      </c>
    </row>
    <row r="6105" spans="1:2" x14ac:dyDescent="0.2">
      <c r="A6105" t="str">
        <f>"G3BP2"</f>
        <v>G3BP2</v>
      </c>
      <c r="B6105" t="s">
        <v>6</v>
      </c>
    </row>
    <row r="6106" spans="1:2" x14ac:dyDescent="0.2">
      <c r="A6106" t="str">
        <f>"G6PC"</f>
        <v>G6PC</v>
      </c>
      <c r="B6106" t="s">
        <v>7</v>
      </c>
    </row>
    <row r="6107" spans="1:2" x14ac:dyDescent="0.2">
      <c r="A6107" t="str">
        <f>"G6PC2"</f>
        <v>G6PC2</v>
      </c>
      <c r="B6107" t="s">
        <v>7</v>
      </c>
    </row>
    <row r="6108" spans="1:2" x14ac:dyDescent="0.2">
      <c r="A6108" t="str">
        <f>"G6PC3"</f>
        <v>G6PC3</v>
      </c>
      <c r="B6108" t="s">
        <v>7</v>
      </c>
    </row>
    <row r="6109" spans="1:2" x14ac:dyDescent="0.2">
      <c r="A6109" t="str">
        <f>"G6PD"</f>
        <v>G6PD</v>
      </c>
      <c r="B6109" t="s">
        <v>3</v>
      </c>
    </row>
    <row r="6110" spans="1:2" x14ac:dyDescent="0.2">
      <c r="A6110" t="str">
        <f>"GAA"</f>
        <v>GAA</v>
      </c>
      <c r="B6110" t="s">
        <v>7</v>
      </c>
    </row>
    <row r="6111" spans="1:2" x14ac:dyDescent="0.2">
      <c r="A6111" t="str">
        <f>"GAB1"</f>
        <v>GAB1</v>
      </c>
      <c r="B6111" t="s">
        <v>3</v>
      </c>
    </row>
    <row r="6112" spans="1:2" x14ac:dyDescent="0.2">
      <c r="A6112" t="str">
        <f>"GAB2"</f>
        <v>GAB2</v>
      </c>
      <c r="B6112" t="s">
        <v>4</v>
      </c>
    </row>
    <row r="6113" spans="1:2" x14ac:dyDescent="0.2">
      <c r="A6113" t="str">
        <f>"GAB3"</f>
        <v>GAB3</v>
      </c>
      <c r="B6113" t="s">
        <v>4</v>
      </c>
    </row>
    <row r="6114" spans="1:2" x14ac:dyDescent="0.2">
      <c r="A6114" t="str">
        <f>"GAB4"</f>
        <v>GAB4</v>
      </c>
      <c r="B6114" t="s">
        <v>4</v>
      </c>
    </row>
    <row r="6115" spans="1:2" x14ac:dyDescent="0.2">
      <c r="A6115" t="str">
        <f>"GABARAP"</f>
        <v>GABARAP</v>
      </c>
      <c r="B6115" t="s">
        <v>2</v>
      </c>
    </row>
    <row r="6116" spans="1:2" x14ac:dyDescent="0.2">
      <c r="A6116" t="str">
        <f>"GABARAPL1"</f>
        <v>GABARAPL1</v>
      </c>
      <c r="B6116" t="s">
        <v>2</v>
      </c>
    </row>
    <row r="6117" spans="1:2" x14ac:dyDescent="0.2">
      <c r="A6117" t="str">
        <f>"GABARAPL2"</f>
        <v>GABARAPL2</v>
      </c>
      <c r="B6117" t="s">
        <v>3</v>
      </c>
    </row>
    <row r="6118" spans="1:2" x14ac:dyDescent="0.2">
      <c r="A6118" t="str">
        <f>"GABBR1"</f>
        <v>GABBR1</v>
      </c>
      <c r="B6118" t="s">
        <v>7</v>
      </c>
    </row>
    <row r="6119" spans="1:2" x14ac:dyDescent="0.2">
      <c r="A6119" t="str">
        <f>"GABBR2"</f>
        <v>GABBR2</v>
      </c>
      <c r="B6119" t="s">
        <v>7</v>
      </c>
    </row>
    <row r="6120" spans="1:2" x14ac:dyDescent="0.2">
      <c r="A6120" t="str">
        <f>"GABPA"</f>
        <v>GABPA</v>
      </c>
      <c r="B6120" t="s">
        <v>8</v>
      </c>
    </row>
    <row r="6121" spans="1:2" x14ac:dyDescent="0.2">
      <c r="A6121" t="str">
        <f>"GABPB1"</f>
        <v>GABPB1</v>
      </c>
      <c r="B6121" t="s">
        <v>2</v>
      </c>
    </row>
    <row r="6122" spans="1:2" x14ac:dyDescent="0.2">
      <c r="A6122" t="str">
        <f>"GABPB2"</f>
        <v>GABPB2</v>
      </c>
      <c r="B6122" t="s">
        <v>8</v>
      </c>
    </row>
    <row r="6123" spans="1:2" x14ac:dyDescent="0.2">
      <c r="A6123" t="str">
        <f>"GABRA1"</f>
        <v>GABRA1</v>
      </c>
      <c r="B6123" t="s">
        <v>7</v>
      </c>
    </row>
    <row r="6124" spans="1:2" x14ac:dyDescent="0.2">
      <c r="A6124" t="str">
        <f>"GABRA2"</f>
        <v>GABRA2</v>
      </c>
      <c r="B6124" t="s">
        <v>7</v>
      </c>
    </row>
    <row r="6125" spans="1:2" x14ac:dyDescent="0.2">
      <c r="A6125" t="str">
        <f>"GABRA3"</f>
        <v>GABRA3</v>
      </c>
      <c r="B6125" t="s">
        <v>7</v>
      </c>
    </row>
    <row r="6126" spans="1:2" x14ac:dyDescent="0.2">
      <c r="A6126" t="str">
        <f>"GABRA4"</f>
        <v>GABRA4</v>
      </c>
      <c r="B6126" t="s">
        <v>7</v>
      </c>
    </row>
    <row r="6127" spans="1:2" x14ac:dyDescent="0.2">
      <c r="A6127" t="str">
        <f>"GABRA5"</f>
        <v>GABRA5</v>
      </c>
      <c r="B6127" t="s">
        <v>7</v>
      </c>
    </row>
    <row r="6128" spans="1:2" x14ac:dyDescent="0.2">
      <c r="A6128" t="str">
        <f>"GABRA6"</f>
        <v>GABRA6</v>
      </c>
      <c r="B6128" t="s">
        <v>7</v>
      </c>
    </row>
    <row r="6129" spans="1:2" x14ac:dyDescent="0.2">
      <c r="A6129" t="str">
        <f>"GABRB1"</f>
        <v>GABRB1</v>
      </c>
      <c r="B6129" t="s">
        <v>7</v>
      </c>
    </row>
    <row r="6130" spans="1:2" x14ac:dyDescent="0.2">
      <c r="A6130" t="str">
        <f>"GABRB2"</f>
        <v>GABRB2</v>
      </c>
      <c r="B6130" t="s">
        <v>7</v>
      </c>
    </row>
    <row r="6131" spans="1:2" x14ac:dyDescent="0.2">
      <c r="A6131" t="str">
        <f>"GABRB3"</f>
        <v>GABRB3</v>
      </c>
      <c r="B6131" t="s">
        <v>7</v>
      </c>
    </row>
    <row r="6132" spans="1:2" x14ac:dyDescent="0.2">
      <c r="A6132" t="str">
        <f>"GABRD"</f>
        <v>GABRD</v>
      </c>
      <c r="B6132" t="s">
        <v>7</v>
      </c>
    </row>
    <row r="6133" spans="1:2" x14ac:dyDescent="0.2">
      <c r="A6133" t="str">
        <f>"GABRE"</f>
        <v>GABRE</v>
      </c>
      <c r="B6133" t="s">
        <v>7</v>
      </c>
    </row>
    <row r="6134" spans="1:2" x14ac:dyDescent="0.2">
      <c r="A6134" t="str">
        <f>"GABRG1"</f>
        <v>GABRG1</v>
      </c>
      <c r="B6134" t="s">
        <v>7</v>
      </c>
    </row>
    <row r="6135" spans="1:2" x14ac:dyDescent="0.2">
      <c r="A6135" t="str">
        <f>"GABRG2"</f>
        <v>GABRG2</v>
      </c>
      <c r="B6135" t="s">
        <v>7</v>
      </c>
    </row>
    <row r="6136" spans="1:2" x14ac:dyDescent="0.2">
      <c r="A6136" t="str">
        <f>"GABRG3"</f>
        <v>GABRG3</v>
      </c>
      <c r="B6136" t="s">
        <v>7</v>
      </c>
    </row>
    <row r="6137" spans="1:2" x14ac:dyDescent="0.2">
      <c r="A6137" t="str">
        <f>"GABRP"</f>
        <v>GABRP</v>
      </c>
      <c r="B6137" t="s">
        <v>7</v>
      </c>
    </row>
    <row r="6138" spans="1:2" x14ac:dyDescent="0.2">
      <c r="A6138" t="str">
        <f>"GABRQ"</f>
        <v>GABRQ</v>
      </c>
      <c r="B6138" t="s">
        <v>7</v>
      </c>
    </row>
    <row r="6139" spans="1:2" x14ac:dyDescent="0.2">
      <c r="A6139" t="str">
        <f>"GABRR1"</f>
        <v>GABRR1</v>
      </c>
      <c r="B6139" t="s">
        <v>7</v>
      </c>
    </row>
    <row r="6140" spans="1:2" x14ac:dyDescent="0.2">
      <c r="A6140" t="str">
        <f>"GABRR2"</f>
        <v>GABRR2</v>
      </c>
      <c r="B6140" t="s">
        <v>7</v>
      </c>
    </row>
    <row r="6141" spans="1:2" x14ac:dyDescent="0.2">
      <c r="A6141" t="str">
        <f>"GABRR3"</f>
        <v>GABRR3</v>
      </c>
      <c r="B6141" t="s">
        <v>7</v>
      </c>
    </row>
    <row r="6142" spans="1:2" x14ac:dyDescent="0.2">
      <c r="A6142" t="str">
        <f>"GAD1"</f>
        <v>GAD1</v>
      </c>
      <c r="B6142" t="s">
        <v>7</v>
      </c>
    </row>
    <row r="6143" spans="1:2" x14ac:dyDescent="0.2">
      <c r="A6143" t="str">
        <f>"GAD2"</f>
        <v>GAD2</v>
      </c>
      <c r="B6143" t="s">
        <v>7</v>
      </c>
    </row>
    <row r="6144" spans="1:2" x14ac:dyDescent="0.2">
      <c r="A6144" t="str">
        <f>"GADD45A"</f>
        <v>GADD45A</v>
      </c>
      <c r="B6144" t="s">
        <v>3</v>
      </c>
    </row>
    <row r="6145" spans="1:2" x14ac:dyDescent="0.2">
      <c r="A6145" t="str">
        <f>"GADD45B"</f>
        <v>GADD45B</v>
      </c>
      <c r="B6145" t="s">
        <v>3</v>
      </c>
    </row>
    <row r="6146" spans="1:2" x14ac:dyDescent="0.2">
      <c r="A6146" t="str">
        <f>"GADD45G"</f>
        <v>GADD45G</v>
      </c>
      <c r="B6146" t="s">
        <v>3</v>
      </c>
    </row>
    <row r="6147" spans="1:2" x14ac:dyDescent="0.2">
      <c r="A6147" t="str">
        <f>"GADD45GIP1"</f>
        <v>GADD45GIP1</v>
      </c>
      <c r="B6147" t="s">
        <v>3</v>
      </c>
    </row>
    <row r="6148" spans="1:2" x14ac:dyDescent="0.2">
      <c r="A6148" t="str">
        <f>"GADL1"</f>
        <v>GADL1</v>
      </c>
      <c r="B6148" t="s">
        <v>7</v>
      </c>
    </row>
    <row r="6149" spans="1:2" x14ac:dyDescent="0.2">
      <c r="A6149" t="str">
        <f>"GAGE10"</f>
        <v>GAGE10</v>
      </c>
      <c r="B6149" t="s">
        <v>4</v>
      </c>
    </row>
    <row r="6150" spans="1:2" x14ac:dyDescent="0.2">
      <c r="A6150" t="str">
        <f>"GAGE12B"</f>
        <v>GAGE12B</v>
      </c>
      <c r="B6150" t="s">
        <v>4</v>
      </c>
    </row>
    <row r="6151" spans="1:2" x14ac:dyDescent="0.2">
      <c r="A6151" t="str">
        <f>"GAK"</f>
        <v>GAK</v>
      </c>
      <c r="B6151" t="s">
        <v>7</v>
      </c>
    </row>
    <row r="6152" spans="1:2" x14ac:dyDescent="0.2">
      <c r="A6152" t="str">
        <f>"GAL"</f>
        <v>GAL</v>
      </c>
      <c r="B6152" t="s">
        <v>2</v>
      </c>
    </row>
    <row r="6153" spans="1:2" x14ac:dyDescent="0.2">
      <c r="A6153" t="str">
        <f>"GAL3ST1"</f>
        <v>GAL3ST1</v>
      </c>
      <c r="B6153" t="s">
        <v>3</v>
      </c>
    </row>
    <row r="6154" spans="1:2" x14ac:dyDescent="0.2">
      <c r="A6154" t="str">
        <f>"GAL3ST2"</f>
        <v>GAL3ST2</v>
      </c>
      <c r="B6154" t="s">
        <v>4</v>
      </c>
    </row>
    <row r="6155" spans="1:2" x14ac:dyDescent="0.2">
      <c r="A6155" t="str">
        <f>"GAL3ST3"</f>
        <v>GAL3ST3</v>
      </c>
      <c r="B6155" t="s">
        <v>4</v>
      </c>
    </row>
    <row r="6156" spans="1:2" x14ac:dyDescent="0.2">
      <c r="A6156" t="str">
        <f>"GAL3ST4"</f>
        <v>GAL3ST4</v>
      </c>
      <c r="B6156" t="s">
        <v>5</v>
      </c>
    </row>
    <row r="6157" spans="1:2" x14ac:dyDescent="0.2">
      <c r="A6157" t="str">
        <f>"GALC"</f>
        <v>GALC</v>
      </c>
      <c r="B6157" t="s">
        <v>2</v>
      </c>
    </row>
    <row r="6158" spans="1:2" x14ac:dyDescent="0.2">
      <c r="A6158" t="str">
        <f>"GALE"</f>
        <v>GALE</v>
      </c>
      <c r="B6158" t="s">
        <v>7</v>
      </c>
    </row>
    <row r="6159" spans="1:2" x14ac:dyDescent="0.2">
      <c r="A6159" t="str">
        <f>"GALK1"</f>
        <v>GALK1</v>
      </c>
      <c r="B6159" t="s">
        <v>7</v>
      </c>
    </row>
    <row r="6160" spans="1:2" x14ac:dyDescent="0.2">
      <c r="A6160" t="str">
        <f>"GALK2"</f>
        <v>GALK2</v>
      </c>
      <c r="B6160" t="s">
        <v>7</v>
      </c>
    </row>
    <row r="6161" spans="1:2" x14ac:dyDescent="0.2">
      <c r="A6161" t="str">
        <f>"GALM"</f>
        <v>GALM</v>
      </c>
      <c r="B6161" t="s">
        <v>7</v>
      </c>
    </row>
    <row r="6162" spans="1:2" x14ac:dyDescent="0.2">
      <c r="A6162" t="str">
        <f>"GALNS"</f>
        <v>GALNS</v>
      </c>
      <c r="B6162" t="s">
        <v>3</v>
      </c>
    </row>
    <row r="6163" spans="1:2" x14ac:dyDescent="0.2">
      <c r="A6163" t="str">
        <f>"GALNT1"</f>
        <v>GALNT1</v>
      </c>
      <c r="B6163" t="s">
        <v>7</v>
      </c>
    </row>
    <row r="6164" spans="1:2" x14ac:dyDescent="0.2">
      <c r="A6164" t="str">
        <f>"GALNT10"</f>
        <v>GALNT10</v>
      </c>
      <c r="B6164" t="s">
        <v>3</v>
      </c>
    </row>
    <row r="6165" spans="1:2" x14ac:dyDescent="0.2">
      <c r="A6165" t="str">
        <f>"GALNT11"</f>
        <v>GALNT11</v>
      </c>
      <c r="B6165" t="s">
        <v>6</v>
      </c>
    </row>
    <row r="6166" spans="1:2" x14ac:dyDescent="0.2">
      <c r="A6166" t="str">
        <f>"GALNT12"</f>
        <v>GALNT12</v>
      </c>
      <c r="B6166" t="s">
        <v>4</v>
      </c>
    </row>
    <row r="6167" spans="1:2" x14ac:dyDescent="0.2">
      <c r="A6167" t="str">
        <f>"GALNT13"</f>
        <v>GALNT13</v>
      </c>
      <c r="B6167" t="s">
        <v>5</v>
      </c>
    </row>
    <row r="6168" spans="1:2" x14ac:dyDescent="0.2">
      <c r="A6168" t="str">
        <f>"GALNT14"</f>
        <v>GALNT14</v>
      </c>
      <c r="B6168" t="s">
        <v>5</v>
      </c>
    </row>
    <row r="6169" spans="1:2" x14ac:dyDescent="0.2">
      <c r="A6169" t="str">
        <f>"GALNT15"</f>
        <v>GALNT15</v>
      </c>
      <c r="B6169" t="s">
        <v>2</v>
      </c>
    </row>
    <row r="6170" spans="1:2" x14ac:dyDescent="0.2">
      <c r="A6170" t="str">
        <f>"GALNT16"</f>
        <v>GALNT16</v>
      </c>
      <c r="B6170" t="s">
        <v>5</v>
      </c>
    </row>
    <row r="6171" spans="1:2" x14ac:dyDescent="0.2">
      <c r="A6171" t="str">
        <f>"GALNT18"</f>
        <v>GALNT18</v>
      </c>
      <c r="B6171" t="s">
        <v>5</v>
      </c>
    </row>
    <row r="6172" spans="1:2" x14ac:dyDescent="0.2">
      <c r="A6172" t="str">
        <f>"GALNT2"</f>
        <v>GALNT2</v>
      </c>
      <c r="B6172" t="s">
        <v>2</v>
      </c>
    </row>
    <row r="6173" spans="1:2" x14ac:dyDescent="0.2">
      <c r="A6173" t="str">
        <f>"GALNT3"</f>
        <v>GALNT3</v>
      </c>
      <c r="B6173" t="s">
        <v>5</v>
      </c>
    </row>
    <row r="6174" spans="1:2" x14ac:dyDescent="0.2">
      <c r="A6174" t="str">
        <f>"GALNT4"</f>
        <v>GALNT4</v>
      </c>
      <c r="B6174" t="s">
        <v>3</v>
      </c>
    </row>
    <row r="6175" spans="1:2" x14ac:dyDescent="0.2">
      <c r="A6175" t="str">
        <f>"GALNT5"</f>
        <v>GALNT5</v>
      </c>
      <c r="B6175" t="s">
        <v>3</v>
      </c>
    </row>
    <row r="6176" spans="1:2" x14ac:dyDescent="0.2">
      <c r="A6176" t="str">
        <f>"GALNT6"</f>
        <v>GALNT6</v>
      </c>
      <c r="B6176" t="s">
        <v>3</v>
      </c>
    </row>
    <row r="6177" spans="1:2" x14ac:dyDescent="0.2">
      <c r="A6177" t="str">
        <f>"GALNT7"</f>
        <v>GALNT7</v>
      </c>
      <c r="B6177" t="s">
        <v>5</v>
      </c>
    </row>
    <row r="6178" spans="1:2" x14ac:dyDescent="0.2">
      <c r="A6178" t="str">
        <f>"GALNT8"</f>
        <v>GALNT8</v>
      </c>
      <c r="B6178" t="s">
        <v>4</v>
      </c>
    </row>
    <row r="6179" spans="1:2" x14ac:dyDescent="0.2">
      <c r="A6179" t="str">
        <f>"GALNT9"</f>
        <v>GALNT9</v>
      </c>
      <c r="B6179" t="s">
        <v>5</v>
      </c>
    </row>
    <row r="6180" spans="1:2" x14ac:dyDescent="0.2">
      <c r="A6180" t="str">
        <f>"GALNTL5"</f>
        <v>GALNTL5</v>
      </c>
      <c r="B6180" t="s">
        <v>3</v>
      </c>
    </row>
    <row r="6181" spans="1:2" x14ac:dyDescent="0.2">
      <c r="A6181" t="str">
        <f>"GALNTL6"</f>
        <v>GALNTL6</v>
      </c>
      <c r="B6181" t="s">
        <v>3</v>
      </c>
    </row>
    <row r="6182" spans="1:2" x14ac:dyDescent="0.2">
      <c r="A6182" t="str">
        <f>"GALR1"</f>
        <v>GALR1</v>
      </c>
      <c r="B6182" t="s">
        <v>5</v>
      </c>
    </row>
    <row r="6183" spans="1:2" x14ac:dyDescent="0.2">
      <c r="A6183" t="str">
        <f>"GALR2"</f>
        <v>GALR2</v>
      </c>
      <c r="B6183" t="s">
        <v>5</v>
      </c>
    </row>
    <row r="6184" spans="1:2" x14ac:dyDescent="0.2">
      <c r="A6184" t="str">
        <f>"GALR3"</f>
        <v>GALR3</v>
      </c>
      <c r="B6184" t="s">
        <v>5</v>
      </c>
    </row>
    <row r="6185" spans="1:2" x14ac:dyDescent="0.2">
      <c r="A6185" t="str">
        <f>"GALT"</f>
        <v>GALT</v>
      </c>
      <c r="B6185" t="s">
        <v>3</v>
      </c>
    </row>
    <row r="6186" spans="1:2" x14ac:dyDescent="0.2">
      <c r="A6186" t="str">
        <f>"GAMT"</f>
        <v>GAMT</v>
      </c>
      <c r="B6186" t="s">
        <v>3</v>
      </c>
    </row>
    <row r="6187" spans="1:2" x14ac:dyDescent="0.2">
      <c r="A6187" t="str">
        <f>"GAN"</f>
        <v>GAN</v>
      </c>
      <c r="B6187" t="s">
        <v>2</v>
      </c>
    </row>
    <row r="6188" spans="1:2" x14ac:dyDescent="0.2">
      <c r="A6188" t="str">
        <f>"GANAB"</f>
        <v>GANAB</v>
      </c>
      <c r="B6188" t="s">
        <v>3</v>
      </c>
    </row>
    <row r="6189" spans="1:2" x14ac:dyDescent="0.2">
      <c r="A6189" t="str">
        <f>"GANC"</f>
        <v>GANC</v>
      </c>
      <c r="B6189" t="s">
        <v>2</v>
      </c>
    </row>
    <row r="6190" spans="1:2" x14ac:dyDescent="0.2">
      <c r="A6190" t="str">
        <f>"GAP43"</f>
        <v>GAP43</v>
      </c>
      <c r="B6190" t="s">
        <v>4</v>
      </c>
    </row>
    <row r="6191" spans="1:2" x14ac:dyDescent="0.2">
      <c r="A6191" t="str">
        <f>"GAPDH"</f>
        <v>GAPDH</v>
      </c>
      <c r="B6191" t="s">
        <v>7</v>
      </c>
    </row>
    <row r="6192" spans="1:2" x14ac:dyDescent="0.2">
      <c r="A6192" t="str">
        <f>"GAPDHS"</f>
        <v>GAPDHS</v>
      </c>
      <c r="B6192" t="s">
        <v>7</v>
      </c>
    </row>
    <row r="6193" spans="1:2" x14ac:dyDescent="0.2">
      <c r="A6193" t="str">
        <f>"GAPT"</f>
        <v>GAPT</v>
      </c>
      <c r="B6193" t="s">
        <v>5</v>
      </c>
    </row>
    <row r="6194" spans="1:2" x14ac:dyDescent="0.2">
      <c r="A6194" t="str">
        <f>"GAPVD1"</f>
        <v>GAPVD1</v>
      </c>
      <c r="B6194" t="s">
        <v>2</v>
      </c>
    </row>
    <row r="6195" spans="1:2" x14ac:dyDescent="0.2">
      <c r="A6195" t="str">
        <f>"GAR1"</f>
        <v>GAR1</v>
      </c>
      <c r="B6195" t="s">
        <v>8</v>
      </c>
    </row>
    <row r="6196" spans="1:2" x14ac:dyDescent="0.2">
      <c r="A6196" t="str">
        <f>"GAREM"</f>
        <v>GAREM</v>
      </c>
      <c r="B6196" t="s">
        <v>4</v>
      </c>
    </row>
    <row r="6197" spans="1:2" x14ac:dyDescent="0.2">
      <c r="A6197" t="str">
        <f>"GAREML"</f>
        <v>GAREML</v>
      </c>
      <c r="B6197" t="s">
        <v>4</v>
      </c>
    </row>
    <row r="6198" spans="1:2" x14ac:dyDescent="0.2">
      <c r="A6198" t="str">
        <f>"GARNL3"</f>
        <v>GARNL3</v>
      </c>
      <c r="B6198" t="s">
        <v>3</v>
      </c>
    </row>
    <row r="6199" spans="1:2" x14ac:dyDescent="0.2">
      <c r="A6199" t="str">
        <f>"GARS"</f>
        <v>GARS</v>
      </c>
      <c r="B6199" t="s">
        <v>7</v>
      </c>
    </row>
    <row r="6200" spans="1:2" x14ac:dyDescent="0.2">
      <c r="A6200" t="str">
        <f>"GART"</f>
        <v>GART</v>
      </c>
      <c r="B6200" t="s">
        <v>7</v>
      </c>
    </row>
    <row r="6201" spans="1:2" x14ac:dyDescent="0.2">
      <c r="A6201" t="str">
        <f>"GAS1"</f>
        <v>GAS1</v>
      </c>
      <c r="B6201" t="s">
        <v>3</v>
      </c>
    </row>
    <row r="6202" spans="1:2" x14ac:dyDescent="0.2">
      <c r="A6202" t="str">
        <f>"GAS2"</f>
        <v>GAS2</v>
      </c>
      <c r="B6202" t="s">
        <v>3</v>
      </c>
    </row>
    <row r="6203" spans="1:2" x14ac:dyDescent="0.2">
      <c r="A6203" t="str">
        <f>"GAS2L1"</f>
        <v>GAS2L1</v>
      </c>
      <c r="B6203" t="s">
        <v>3</v>
      </c>
    </row>
    <row r="6204" spans="1:2" x14ac:dyDescent="0.2">
      <c r="A6204" t="str">
        <f>"GAS2L2"</f>
        <v>GAS2L2</v>
      </c>
      <c r="B6204" t="s">
        <v>3</v>
      </c>
    </row>
    <row r="6205" spans="1:2" x14ac:dyDescent="0.2">
      <c r="A6205" t="str">
        <f>"GAS2L3"</f>
        <v>GAS2L3</v>
      </c>
      <c r="B6205" t="s">
        <v>3</v>
      </c>
    </row>
    <row r="6206" spans="1:2" x14ac:dyDescent="0.2">
      <c r="A6206" t="str">
        <f>"GAS6"</f>
        <v>GAS6</v>
      </c>
      <c r="B6206" t="s">
        <v>3</v>
      </c>
    </row>
    <row r="6207" spans="1:2" x14ac:dyDescent="0.2">
      <c r="A6207" t="str">
        <f>"GAS7"</f>
        <v>GAS7</v>
      </c>
      <c r="B6207" t="s">
        <v>3</v>
      </c>
    </row>
    <row r="6208" spans="1:2" x14ac:dyDescent="0.2">
      <c r="A6208" t="str">
        <f>"GAS8"</f>
        <v>GAS8</v>
      </c>
      <c r="B6208" t="s">
        <v>6</v>
      </c>
    </row>
    <row r="6209" spans="1:2" x14ac:dyDescent="0.2">
      <c r="A6209" t="str">
        <f>"GAST"</f>
        <v>GAST</v>
      </c>
      <c r="B6209" t="s">
        <v>3</v>
      </c>
    </row>
    <row r="6210" spans="1:2" x14ac:dyDescent="0.2">
      <c r="A6210" t="str">
        <f>"GATA1"</f>
        <v>GATA1</v>
      </c>
      <c r="B6210" t="s">
        <v>3</v>
      </c>
    </row>
    <row r="6211" spans="1:2" x14ac:dyDescent="0.2">
      <c r="A6211" t="str">
        <f>"GATA2"</f>
        <v>GATA2</v>
      </c>
      <c r="B6211" t="s">
        <v>8</v>
      </c>
    </row>
    <row r="6212" spans="1:2" x14ac:dyDescent="0.2">
      <c r="A6212" t="str">
        <f>"GATA3"</f>
        <v>GATA3</v>
      </c>
      <c r="B6212" t="s">
        <v>3</v>
      </c>
    </row>
    <row r="6213" spans="1:2" x14ac:dyDescent="0.2">
      <c r="A6213" t="str">
        <f>"GATA4"</f>
        <v>GATA4</v>
      </c>
      <c r="B6213" t="s">
        <v>3</v>
      </c>
    </row>
    <row r="6214" spans="1:2" x14ac:dyDescent="0.2">
      <c r="A6214" t="str">
        <f>"GATA5"</f>
        <v>GATA5</v>
      </c>
      <c r="B6214" t="s">
        <v>8</v>
      </c>
    </row>
    <row r="6215" spans="1:2" x14ac:dyDescent="0.2">
      <c r="A6215" t="str">
        <f>"GATA6"</f>
        <v>GATA6</v>
      </c>
      <c r="B6215" t="s">
        <v>3</v>
      </c>
    </row>
    <row r="6216" spans="1:2" x14ac:dyDescent="0.2">
      <c r="A6216" t="str">
        <f>"GATAD1"</f>
        <v>GATAD1</v>
      </c>
      <c r="B6216" t="s">
        <v>8</v>
      </c>
    </row>
    <row r="6217" spans="1:2" x14ac:dyDescent="0.2">
      <c r="A6217" t="str">
        <f>"GATAD2A"</f>
        <v>GATAD2A</v>
      </c>
      <c r="B6217" t="s">
        <v>2</v>
      </c>
    </row>
    <row r="6218" spans="1:2" x14ac:dyDescent="0.2">
      <c r="A6218" t="str">
        <f>"GATAD2B"</f>
        <v>GATAD2B</v>
      </c>
      <c r="B6218" t="s">
        <v>8</v>
      </c>
    </row>
    <row r="6219" spans="1:2" x14ac:dyDescent="0.2">
      <c r="A6219" t="str">
        <f>"GATC"</f>
        <v>GATC</v>
      </c>
      <c r="B6219" t="s">
        <v>6</v>
      </c>
    </row>
    <row r="6220" spans="1:2" x14ac:dyDescent="0.2">
      <c r="A6220" t="str">
        <f>"GATM"</f>
        <v>GATM</v>
      </c>
      <c r="B6220" t="s">
        <v>7</v>
      </c>
    </row>
    <row r="6221" spans="1:2" x14ac:dyDescent="0.2">
      <c r="A6221" t="str">
        <f>"GATS"</f>
        <v>GATS</v>
      </c>
      <c r="B6221" t="s">
        <v>4</v>
      </c>
    </row>
    <row r="6222" spans="1:2" x14ac:dyDescent="0.2">
      <c r="A6222" t="str">
        <f>"GATSL3"</f>
        <v>GATSL3</v>
      </c>
      <c r="B6222" t="s">
        <v>4</v>
      </c>
    </row>
    <row r="6223" spans="1:2" x14ac:dyDescent="0.2">
      <c r="A6223" t="str">
        <f>"GBA"</f>
        <v>GBA</v>
      </c>
      <c r="B6223" t="s">
        <v>7</v>
      </c>
    </row>
    <row r="6224" spans="1:2" x14ac:dyDescent="0.2">
      <c r="A6224" t="str">
        <f>"GBA2"</f>
        <v>GBA2</v>
      </c>
      <c r="B6224" t="s">
        <v>6</v>
      </c>
    </row>
    <row r="6225" spans="1:2" x14ac:dyDescent="0.2">
      <c r="A6225" t="str">
        <f>"GBA3"</f>
        <v>GBA3</v>
      </c>
      <c r="B6225" t="s">
        <v>3</v>
      </c>
    </row>
    <row r="6226" spans="1:2" x14ac:dyDescent="0.2">
      <c r="A6226" t="str">
        <f>"GBAS"</f>
        <v>GBAS</v>
      </c>
      <c r="B6226" t="s">
        <v>6</v>
      </c>
    </row>
    <row r="6227" spans="1:2" x14ac:dyDescent="0.2">
      <c r="A6227" t="str">
        <f>"GBE1"</f>
        <v>GBE1</v>
      </c>
      <c r="B6227" t="s">
        <v>3</v>
      </c>
    </row>
    <row r="6228" spans="1:2" x14ac:dyDescent="0.2">
      <c r="A6228" t="str">
        <f>"GBF1"</f>
        <v>GBF1</v>
      </c>
      <c r="B6228" t="s">
        <v>6</v>
      </c>
    </row>
    <row r="6229" spans="1:2" x14ac:dyDescent="0.2">
      <c r="A6229" t="str">
        <f>"GBGT1"</f>
        <v>GBGT1</v>
      </c>
      <c r="B6229" t="s">
        <v>3</v>
      </c>
    </row>
    <row r="6230" spans="1:2" x14ac:dyDescent="0.2">
      <c r="A6230" t="str">
        <f>"GBP1"</f>
        <v>GBP1</v>
      </c>
      <c r="B6230" t="s">
        <v>5</v>
      </c>
    </row>
    <row r="6231" spans="1:2" x14ac:dyDescent="0.2">
      <c r="A6231" t="str">
        <f>"GBP2"</f>
        <v>GBP2</v>
      </c>
      <c r="B6231" t="s">
        <v>5</v>
      </c>
    </row>
    <row r="6232" spans="1:2" x14ac:dyDescent="0.2">
      <c r="A6232" t="str">
        <f>"GBP3"</f>
        <v>GBP3</v>
      </c>
      <c r="B6232" t="s">
        <v>5</v>
      </c>
    </row>
    <row r="6233" spans="1:2" x14ac:dyDescent="0.2">
      <c r="A6233" t="str">
        <f>"GBP4"</f>
        <v>GBP4</v>
      </c>
      <c r="B6233" t="s">
        <v>4</v>
      </c>
    </row>
    <row r="6234" spans="1:2" x14ac:dyDescent="0.2">
      <c r="A6234" t="str">
        <f>"GBP5"</f>
        <v>GBP5</v>
      </c>
      <c r="B6234" t="s">
        <v>4</v>
      </c>
    </row>
    <row r="6235" spans="1:2" x14ac:dyDescent="0.2">
      <c r="A6235" t="str">
        <f>"GBP6"</f>
        <v>GBP6</v>
      </c>
      <c r="B6235" t="s">
        <v>4</v>
      </c>
    </row>
    <row r="6236" spans="1:2" x14ac:dyDescent="0.2">
      <c r="A6236" t="str">
        <f>"GBP7"</f>
        <v>GBP7</v>
      </c>
      <c r="B6236" t="s">
        <v>5</v>
      </c>
    </row>
    <row r="6237" spans="1:2" x14ac:dyDescent="0.2">
      <c r="A6237" t="str">
        <f>"GBX1"</f>
        <v>GBX1</v>
      </c>
      <c r="B6237" t="s">
        <v>8</v>
      </c>
    </row>
    <row r="6238" spans="1:2" x14ac:dyDescent="0.2">
      <c r="A6238" t="str">
        <f>"GBX2"</f>
        <v>GBX2</v>
      </c>
      <c r="B6238" t="s">
        <v>8</v>
      </c>
    </row>
    <row r="6239" spans="1:2" x14ac:dyDescent="0.2">
      <c r="A6239" t="str">
        <f>"GC"</f>
        <v>GC</v>
      </c>
      <c r="B6239" t="s">
        <v>2</v>
      </c>
    </row>
    <row r="6240" spans="1:2" x14ac:dyDescent="0.2">
      <c r="A6240" t="str">
        <f>"GCA"</f>
        <v>GCA</v>
      </c>
      <c r="B6240" t="s">
        <v>7</v>
      </c>
    </row>
    <row r="6241" spans="1:2" x14ac:dyDescent="0.2">
      <c r="A6241" t="str">
        <f>"GCAT"</f>
        <v>GCAT</v>
      </c>
      <c r="B6241" t="s">
        <v>7</v>
      </c>
    </row>
    <row r="6242" spans="1:2" x14ac:dyDescent="0.2">
      <c r="A6242" t="str">
        <f>"GCC1"</f>
        <v>GCC1</v>
      </c>
      <c r="B6242" t="s">
        <v>4</v>
      </c>
    </row>
    <row r="6243" spans="1:2" x14ac:dyDescent="0.2">
      <c r="A6243" t="str">
        <f>"GCC2"</f>
        <v>GCC2</v>
      </c>
      <c r="B6243" t="s">
        <v>4</v>
      </c>
    </row>
    <row r="6244" spans="1:2" x14ac:dyDescent="0.2">
      <c r="A6244" t="str">
        <f>"GCDH"</f>
        <v>GCDH</v>
      </c>
      <c r="B6244" t="s">
        <v>7</v>
      </c>
    </row>
    <row r="6245" spans="1:2" x14ac:dyDescent="0.2">
      <c r="A6245" t="str">
        <f>"GCFC2"</f>
        <v>GCFC2</v>
      </c>
      <c r="B6245" t="s">
        <v>8</v>
      </c>
    </row>
    <row r="6246" spans="1:2" x14ac:dyDescent="0.2">
      <c r="A6246" t="str">
        <f>"GCG"</f>
        <v>GCG</v>
      </c>
      <c r="B6246" t="s">
        <v>6</v>
      </c>
    </row>
    <row r="6247" spans="1:2" x14ac:dyDescent="0.2">
      <c r="A6247" t="str">
        <f>"GCGR"</f>
        <v>GCGR</v>
      </c>
      <c r="B6247" t="s">
        <v>7</v>
      </c>
    </row>
    <row r="6248" spans="1:2" x14ac:dyDescent="0.2">
      <c r="A6248" t="str">
        <f>"GCH1"</f>
        <v>GCH1</v>
      </c>
      <c r="B6248" t="s">
        <v>7</v>
      </c>
    </row>
    <row r="6249" spans="1:2" x14ac:dyDescent="0.2">
      <c r="A6249" t="str">
        <f>"GCHFR"</f>
        <v>GCHFR</v>
      </c>
      <c r="B6249" t="s">
        <v>4</v>
      </c>
    </row>
    <row r="6250" spans="1:2" x14ac:dyDescent="0.2">
      <c r="A6250" t="str">
        <f>"GCK"</f>
        <v>GCK</v>
      </c>
      <c r="B6250" t="s">
        <v>7</v>
      </c>
    </row>
    <row r="6251" spans="1:2" x14ac:dyDescent="0.2">
      <c r="A6251" t="str">
        <f>"GCKR"</f>
        <v>GCKR</v>
      </c>
      <c r="B6251" t="s">
        <v>6</v>
      </c>
    </row>
    <row r="6252" spans="1:2" x14ac:dyDescent="0.2">
      <c r="A6252" t="str">
        <f>"GCLC"</f>
        <v>GCLC</v>
      </c>
      <c r="B6252" t="s">
        <v>3</v>
      </c>
    </row>
    <row r="6253" spans="1:2" x14ac:dyDescent="0.2">
      <c r="A6253" t="str">
        <f>"GCLM"</f>
        <v>GCLM</v>
      </c>
      <c r="B6253" t="s">
        <v>3</v>
      </c>
    </row>
    <row r="6254" spans="1:2" x14ac:dyDescent="0.2">
      <c r="A6254" t="str">
        <f>"GCM1"</f>
        <v>GCM1</v>
      </c>
      <c r="B6254" t="s">
        <v>8</v>
      </c>
    </row>
    <row r="6255" spans="1:2" x14ac:dyDescent="0.2">
      <c r="A6255" t="str">
        <f>"GCM2"</f>
        <v>GCM2</v>
      </c>
      <c r="B6255" t="s">
        <v>8</v>
      </c>
    </row>
    <row r="6256" spans="1:2" x14ac:dyDescent="0.2">
      <c r="A6256" t="str">
        <f>"GCN1L1"</f>
        <v>GCN1L1</v>
      </c>
      <c r="B6256" t="s">
        <v>2</v>
      </c>
    </row>
    <row r="6257" spans="1:2" x14ac:dyDescent="0.2">
      <c r="A6257" t="str">
        <f>"GCNT1"</f>
        <v>GCNT1</v>
      </c>
      <c r="B6257" t="s">
        <v>3</v>
      </c>
    </row>
    <row r="6258" spans="1:2" x14ac:dyDescent="0.2">
      <c r="A6258" t="str">
        <f>"GCNT2"</f>
        <v>GCNT2</v>
      </c>
      <c r="B6258" t="s">
        <v>5</v>
      </c>
    </row>
    <row r="6259" spans="1:2" x14ac:dyDescent="0.2">
      <c r="A6259" t="str">
        <f>"GCNT3"</f>
        <v>GCNT3</v>
      </c>
      <c r="B6259" t="s">
        <v>5</v>
      </c>
    </row>
    <row r="6260" spans="1:2" x14ac:dyDescent="0.2">
      <c r="A6260" t="str">
        <f>"GCNT4"</f>
        <v>GCNT4</v>
      </c>
      <c r="B6260" t="s">
        <v>3</v>
      </c>
    </row>
    <row r="6261" spans="1:2" x14ac:dyDescent="0.2">
      <c r="A6261" t="str">
        <f>"GCNT6"</f>
        <v>GCNT6</v>
      </c>
      <c r="B6261" t="s">
        <v>5</v>
      </c>
    </row>
    <row r="6262" spans="1:2" x14ac:dyDescent="0.2">
      <c r="A6262" t="str">
        <f>"GCNT7"</f>
        <v>GCNT7</v>
      </c>
      <c r="B6262" t="s">
        <v>4</v>
      </c>
    </row>
    <row r="6263" spans="1:2" x14ac:dyDescent="0.2">
      <c r="A6263" t="str">
        <f>"GCOM1"</f>
        <v>GCOM1</v>
      </c>
      <c r="B6263" t="s">
        <v>4</v>
      </c>
    </row>
    <row r="6264" spans="1:2" x14ac:dyDescent="0.2">
      <c r="A6264" t="str">
        <f>"GCSAM"</f>
        <v>GCSAM</v>
      </c>
      <c r="B6264" t="s">
        <v>6</v>
      </c>
    </row>
    <row r="6265" spans="1:2" x14ac:dyDescent="0.2">
      <c r="A6265" t="str">
        <f>"GCSAML"</f>
        <v>GCSAML</v>
      </c>
      <c r="B6265" t="s">
        <v>4</v>
      </c>
    </row>
    <row r="6266" spans="1:2" x14ac:dyDescent="0.2">
      <c r="A6266" t="str">
        <f>"GCSH"</f>
        <v>GCSH</v>
      </c>
      <c r="B6266" t="s">
        <v>7</v>
      </c>
    </row>
    <row r="6267" spans="1:2" x14ac:dyDescent="0.2">
      <c r="A6267" t="str">
        <f>"GDA"</f>
        <v>GDA</v>
      </c>
      <c r="B6267" t="s">
        <v>3</v>
      </c>
    </row>
    <row r="6268" spans="1:2" x14ac:dyDescent="0.2">
      <c r="A6268" t="str">
        <f>"GDAP1"</f>
        <v>GDAP1</v>
      </c>
      <c r="B6268" t="s">
        <v>5</v>
      </c>
    </row>
    <row r="6269" spans="1:2" x14ac:dyDescent="0.2">
      <c r="A6269" t="str">
        <f>"GDAP1L1"</f>
        <v>GDAP1L1</v>
      </c>
      <c r="B6269" t="s">
        <v>5</v>
      </c>
    </row>
    <row r="6270" spans="1:2" x14ac:dyDescent="0.2">
      <c r="A6270" t="str">
        <f>"GDAP2"</f>
        <v>GDAP2</v>
      </c>
      <c r="B6270" t="s">
        <v>2</v>
      </c>
    </row>
    <row r="6271" spans="1:2" x14ac:dyDescent="0.2">
      <c r="A6271" t="str">
        <f>"GDE1"</f>
        <v>GDE1</v>
      </c>
      <c r="B6271" t="s">
        <v>6</v>
      </c>
    </row>
    <row r="6272" spans="1:2" x14ac:dyDescent="0.2">
      <c r="A6272" t="str">
        <f>"GDF1"</f>
        <v>GDF1</v>
      </c>
      <c r="B6272" t="s">
        <v>3</v>
      </c>
    </row>
    <row r="6273" spans="1:2" x14ac:dyDescent="0.2">
      <c r="A6273" t="str">
        <f>"GDF10"</f>
        <v>GDF10</v>
      </c>
      <c r="B6273" t="s">
        <v>4</v>
      </c>
    </row>
    <row r="6274" spans="1:2" x14ac:dyDescent="0.2">
      <c r="A6274" t="str">
        <f>"GDF11"</f>
        <v>GDF11</v>
      </c>
      <c r="B6274" t="s">
        <v>8</v>
      </c>
    </row>
    <row r="6275" spans="1:2" x14ac:dyDescent="0.2">
      <c r="A6275" t="str">
        <f>"GDF15"</f>
        <v>GDF15</v>
      </c>
      <c r="B6275" t="s">
        <v>3</v>
      </c>
    </row>
    <row r="6276" spans="1:2" x14ac:dyDescent="0.2">
      <c r="A6276" t="str">
        <f>"GDF2"</f>
        <v>GDF2</v>
      </c>
      <c r="B6276" t="s">
        <v>4</v>
      </c>
    </row>
    <row r="6277" spans="1:2" x14ac:dyDescent="0.2">
      <c r="A6277" t="str">
        <f>"GDF3"</f>
        <v>GDF3</v>
      </c>
      <c r="B6277" t="s">
        <v>6</v>
      </c>
    </row>
    <row r="6278" spans="1:2" x14ac:dyDescent="0.2">
      <c r="A6278" t="str">
        <f>"GDF5"</f>
        <v>GDF5</v>
      </c>
      <c r="B6278" t="s">
        <v>4</v>
      </c>
    </row>
    <row r="6279" spans="1:2" x14ac:dyDescent="0.2">
      <c r="A6279" t="str">
        <f>"GDF6"</f>
        <v>GDF6</v>
      </c>
      <c r="B6279" t="s">
        <v>3</v>
      </c>
    </row>
    <row r="6280" spans="1:2" x14ac:dyDescent="0.2">
      <c r="A6280" t="str">
        <f>"GDF7"</f>
        <v>GDF7</v>
      </c>
      <c r="B6280" t="s">
        <v>4</v>
      </c>
    </row>
    <row r="6281" spans="1:2" x14ac:dyDescent="0.2">
      <c r="A6281" t="str">
        <f>"GDF9"</f>
        <v>GDF9</v>
      </c>
      <c r="B6281" t="s">
        <v>4</v>
      </c>
    </row>
    <row r="6282" spans="1:2" x14ac:dyDescent="0.2">
      <c r="A6282" t="str">
        <f>"GDI1"</f>
        <v>GDI1</v>
      </c>
      <c r="B6282" t="s">
        <v>7</v>
      </c>
    </row>
    <row r="6283" spans="1:2" x14ac:dyDescent="0.2">
      <c r="A6283" t="str">
        <f>"GDI2"</f>
        <v>GDI2</v>
      </c>
      <c r="B6283" t="s">
        <v>2</v>
      </c>
    </row>
    <row r="6284" spans="1:2" x14ac:dyDescent="0.2">
      <c r="A6284" t="str">
        <f>"GDNF"</f>
        <v>GDNF</v>
      </c>
      <c r="B6284" t="s">
        <v>2</v>
      </c>
    </row>
    <row r="6285" spans="1:2" x14ac:dyDescent="0.2">
      <c r="A6285" t="str">
        <f>"GDNF-AS1"</f>
        <v>GDNF-AS1</v>
      </c>
      <c r="B6285" t="s">
        <v>4</v>
      </c>
    </row>
    <row r="6286" spans="1:2" x14ac:dyDescent="0.2">
      <c r="A6286" t="str">
        <f>"GDPD1"</f>
        <v>GDPD1</v>
      </c>
      <c r="B6286" t="s">
        <v>5</v>
      </c>
    </row>
    <row r="6287" spans="1:2" x14ac:dyDescent="0.2">
      <c r="A6287" t="str">
        <f>"GDPD2"</f>
        <v>GDPD2</v>
      </c>
      <c r="B6287" t="s">
        <v>6</v>
      </c>
    </row>
    <row r="6288" spans="1:2" x14ac:dyDescent="0.2">
      <c r="A6288" t="str">
        <f>"GDPD3"</f>
        <v>GDPD3</v>
      </c>
      <c r="B6288" t="s">
        <v>5</v>
      </c>
    </row>
    <row r="6289" spans="1:2" x14ac:dyDescent="0.2">
      <c r="A6289" t="str">
        <f>"GDPD4"</f>
        <v>GDPD4</v>
      </c>
      <c r="B6289" t="s">
        <v>5</v>
      </c>
    </row>
    <row r="6290" spans="1:2" x14ac:dyDescent="0.2">
      <c r="A6290" t="str">
        <f>"GDPD5"</f>
        <v>GDPD5</v>
      </c>
      <c r="B6290" t="s">
        <v>5</v>
      </c>
    </row>
    <row r="6291" spans="1:2" x14ac:dyDescent="0.2">
      <c r="A6291" t="str">
        <f>"GDPGP1"</f>
        <v>GDPGP1</v>
      </c>
      <c r="B6291" t="s">
        <v>2</v>
      </c>
    </row>
    <row r="6292" spans="1:2" x14ac:dyDescent="0.2">
      <c r="A6292" t="str">
        <f>"GEM"</f>
        <v>GEM</v>
      </c>
      <c r="B6292" t="s">
        <v>4</v>
      </c>
    </row>
    <row r="6293" spans="1:2" x14ac:dyDescent="0.2">
      <c r="A6293" t="str">
        <f>"GEMIN2"</f>
        <v>GEMIN2</v>
      </c>
      <c r="B6293" t="s">
        <v>8</v>
      </c>
    </row>
    <row r="6294" spans="1:2" x14ac:dyDescent="0.2">
      <c r="A6294" t="str">
        <f>"GEMIN4"</f>
        <v>GEMIN4</v>
      </c>
      <c r="B6294" t="s">
        <v>8</v>
      </c>
    </row>
    <row r="6295" spans="1:2" x14ac:dyDescent="0.2">
      <c r="A6295" t="str">
        <f>"GEMIN5"</f>
        <v>GEMIN5</v>
      </c>
      <c r="B6295" t="s">
        <v>8</v>
      </c>
    </row>
    <row r="6296" spans="1:2" x14ac:dyDescent="0.2">
      <c r="A6296" t="str">
        <f>"GEMIN6"</f>
        <v>GEMIN6</v>
      </c>
      <c r="B6296" t="s">
        <v>8</v>
      </c>
    </row>
    <row r="6297" spans="1:2" x14ac:dyDescent="0.2">
      <c r="A6297" t="str">
        <f>"GEMIN7"</f>
        <v>GEMIN7</v>
      </c>
      <c r="B6297" t="s">
        <v>8</v>
      </c>
    </row>
    <row r="6298" spans="1:2" x14ac:dyDescent="0.2">
      <c r="A6298" t="str">
        <f>"GEMIN8"</f>
        <v>GEMIN8</v>
      </c>
      <c r="B6298" t="s">
        <v>8</v>
      </c>
    </row>
    <row r="6299" spans="1:2" x14ac:dyDescent="0.2">
      <c r="A6299" t="str">
        <f>"GEN1"</f>
        <v>GEN1</v>
      </c>
      <c r="B6299" t="s">
        <v>8</v>
      </c>
    </row>
    <row r="6300" spans="1:2" x14ac:dyDescent="0.2">
      <c r="A6300" t="str">
        <f>"GET4"</f>
        <v>GET4</v>
      </c>
      <c r="B6300" t="s">
        <v>6</v>
      </c>
    </row>
    <row r="6301" spans="1:2" x14ac:dyDescent="0.2">
      <c r="A6301" t="str">
        <f>"GFAP"</f>
        <v>GFAP</v>
      </c>
      <c r="B6301" t="s">
        <v>3</v>
      </c>
    </row>
    <row r="6302" spans="1:2" x14ac:dyDescent="0.2">
      <c r="A6302" t="str">
        <f>"GFER"</f>
        <v>GFER</v>
      </c>
      <c r="B6302" t="s">
        <v>7</v>
      </c>
    </row>
    <row r="6303" spans="1:2" x14ac:dyDescent="0.2">
      <c r="A6303" t="str">
        <f>"GFI1"</f>
        <v>GFI1</v>
      </c>
      <c r="B6303" t="s">
        <v>3</v>
      </c>
    </row>
    <row r="6304" spans="1:2" x14ac:dyDescent="0.2">
      <c r="A6304" t="str">
        <f>"GFI1B"</f>
        <v>GFI1B</v>
      </c>
      <c r="B6304" t="s">
        <v>3</v>
      </c>
    </row>
    <row r="6305" spans="1:2" x14ac:dyDescent="0.2">
      <c r="A6305" t="str">
        <f>"GFM1"</f>
        <v>GFM1</v>
      </c>
      <c r="B6305" t="s">
        <v>6</v>
      </c>
    </row>
    <row r="6306" spans="1:2" x14ac:dyDescent="0.2">
      <c r="A6306" t="str">
        <f>"GFM2"</f>
        <v>GFM2</v>
      </c>
      <c r="B6306" t="s">
        <v>6</v>
      </c>
    </row>
    <row r="6307" spans="1:2" x14ac:dyDescent="0.2">
      <c r="A6307" t="str">
        <f>"GFOD1"</f>
        <v>GFOD1</v>
      </c>
      <c r="B6307" t="s">
        <v>3</v>
      </c>
    </row>
    <row r="6308" spans="1:2" x14ac:dyDescent="0.2">
      <c r="A6308" t="str">
        <f>"GFOD2"</f>
        <v>GFOD2</v>
      </c>
      <c r="B6308" t="s">
        <v>4</v>
      </c>
    </row>
    <row r="6309" spans="1:2" x14ac:dyDescent="0.2">
      <c r="A6309" t="str">
        <f>"GFPT1"</f>
        <v>GFPT1</v>
      </c>
      <c r="B6309" t="s">
        <v>2</v>
      </c>
    </row>
    <row r="6310" spans="1:2" x14ac:dyDescent="0.2">
      <c r="A6310" t="str">
        <f>"GFPT2"</f>
        <v>GFPT2</v>
      </c>
      <c r="B6310" t="s">
        <v>6</v>
      </c>
    </row>
    <row r="6311" spans="1:2" x14ac:dyDescent="0.2">
      <c r="A6311" t="str">
        <f>"GFRA1"</f>
        <v>GFRA1</v>
      </c>
      <c r="B6311" t="s">
        <v>3</v>
      </c>
    </row>
    <row r="6312" spans="1:2" x14ac:dyDescent="0.2">
      <c r="A6312" t="str">
        <f>"GFRA2"</f>
        <v>GFRA2</v>
      </c>
      <c r="B6312" t="s">
        <v>4</v>
      </c>
    </row>
    <row r="6313" spans="1:2" x14ac:dyDescent="0.2">
      <c r="A6313" t="str">
        <f>"GFRA3"</f>
        <v>GFRA3</v>
      </c>
      <c r="B6313" t="s">
        <v>5</v>
      </c>
    </row>
    <row r="6314" spans="1:2" x14ac:dyDescent="0.2">
      <c r="A6314" t="str">
        <f>"GFRA4"</f>
        <v>GFRA4</v>
      </c>
      <c r="B6314" t="s">
        <v>4</v>
      </c>
    </row>
    <row r="6315" spans="1:2" x14ac:dyDescent="0.2">
      <c r="A6315" t="str">
        <f>"GFRAL"</f>
        <v>GFRAL</v>
      </c>
      <c r="B6315" t="s">
        <v>3</v>
      </c>
    </row>
    <row r="6316" spans="1:2" x14ac:dyDescent="0.2">
      <c r="A6316" t="str">
        <f>"GGA1"</f>
        <v>GGA1</v>
      </c>
      <c r="B6316" t="s">
        <v>2</v>
      </c>
    </row>
    <row r="6317" spans="1:2" x14ac:dyDescent="0.2">
      <c r="A6317" t="str">
        <f>"GGA2"</f>
        <v>GGA2</v>
      </c>
      <c r="B6317" t="s">
        <v>6</v>
      </c>
    </row>
    <row r="6318" spans="1:2" x14ac:dyDescent="0.2">
      <c r="A6318" t="str">
        <f>"GGA3"</f>
        <v>GGA3</v>
      </c>
      <c r="B6318" t="s">
        <v>2</v>
      </c>
    </row>
    <row r="6319" spans="1:2" x14ac:dyDescent="0.2">
      <c r="A6319" t="str">
        <f>"GGACT"</f>
        <v>GGACT</v>
      </c>
      <c r="B6319" t="s">
        <v>4</v>
      </c>
    </row>
    <row r="6320" spans="1:2" x14ac:dyDescent="0.2">
      <c r="A6320" t="str">
        <f>"GGCT"</f>
        <v>GGCT</v>
      </c>
      <c r="B6320" t="s">
        <v>4</v>
      </c>
    </row>
    <row r="6321" spans="1:2" x14ac:dyDescent="0.2">
      <c r="A6321" t="str">
        <f>"GGCX"</f>
        <v>GGCX</v>
      </c>
      <c r="B6321" t="s">
        <v>7</v>
      </c>
    </row>
    <row r="6322" spans="1:2" x14ac:dyDescent="0.2">
      <c r="A6322" t="str">
        <f>"GGH"</f>
        <v>GGH</v>
      </c>
      <c r="B6322" t="s">
        <v>2</v>
      </c>
    </row>
    <row r="6323" spans="1:2" x14ac:dyDescent="0.2">
      <c r="A6323" t="str">
        <f>"GGN"</f>
        <v>GGN</v>
      </c>
      <c r="B6323" t="s">
        <v>2</v>
      </c>
    </row>
    <row r="6324" spans="1:2" x14ac:dyDescent="0.2">
      <c r="A6324" t="str">
        <f>"GGNBP2"</f>
        <v>GGNBP2</v>
      </c>
      <c r="B6324" t="s">
        <v>6</v>
      </c>
    </row>
    <row r="6325" spans="1:2" x14ac:dyDescent="0.2">
      <c r="A6325" t="str">
        <f>"GGPS1"</f>
        <v>GGPS1</v>
      </c>
      <c r="B6325" t="s">
        <v>7</v>
      </c>
    </row>
    <row r="6326" spans="1:2" x14ac:dyDescent="0.2">
      <c r="A6326" t="str">
        <f>"GGT1"</f>
        <v>GGT1</v>
      </c>
      <c r="B6326" t="s">
        <v>3</v>
      </c>
    </row>
    <row r="6327" spans="1:2" x14ac:dyDescent="0.2">
      <c r="A6327" t="str">
        <f>"GGT2"</f>
        <v>GGT2</v>
      </c>
      <c r="B6327" t="s">
        <v>2</v>
      </c>
    </row>
    <row r="6328" spans="1:2" x14ac:dyDescent="0.2">
      <c r="A6328" t="str">
        <f>"GGT5"</f>
        <v>GGT5</v>
      </c>
      <c r="B6328" t="s">
        <v>4</v>
      </c>
    </row>
    <row r="6329" spans="1:2" x14ac:dyDescent="0.2">
      <c r="A6329" t="str">
        <f>"GGT6"</f>
        <v>GGT6</v>
      </c>
      <c r="B6329" t="s">
        <v>2</v>
      </c>
    </row>
    <row r="6330" spans="1:2" x14ac:dyDescent="0.2">
      <c r="A6330" t="str">
        <f>"GGT7"</f>
        <v>GGT7</v>
      </c>
      <c r="B6330" t="s">
        <v>5</v>
      </c>
    </row>
    <row r="6331" spans="1:2" x14ac:dyDescent="0.2">
      <c r="A6331" t="str">
        <f>"GH1"</f>
        <v>GH1</v>
      </c>
      <c r="B6331" t="s">
        <v>3</v>
      </c>
    </row>
    <row r="6332" spans="1:2" x14ac:dyDescent="0.2">
      <c r="A6332" t="str">
        <f>"GH2"</f>
        <v>GH2</v>
      </c>
      <c r="B6332" t="s">
        <v>3</v>
      </c>
    </row>
    <row r="6333" spans="1:2" x14ac:dyDescent="0.2">
      <c r="A6333" t="str">
        <f>"GHDC"</f>
        <v>GHDC</v>
      </c>
      <c r="B6333" t="s">
        <v>6</v>
      </c>
    </row>
    <row r="6334" spans="1:2" x14ac:dyDescent="0.2">
      <c r="A6334" t="str">
        <f>"GHITM"</f>
        <v>GHITM</v>
      </c>
      <c r="B6334" t="s">
        <v>6</v>
      </c>
    </row>
    <row r="6335" spans="1:2" x14ac:dyDescent="0.2">
      <c r="A6335" t="str">
        <f>"GHR"</f>
        <v>GHR</v>
      </c>
      <c r="B6335" t="s">
        <v>3</v>
      </c>
    </row>
    <row r="6336" spans="1:2" x14ac:dyDescent="0.2">
      <c r="A6336" t="str">
        <f>"GHRH"</f>
        <v>GHRH</v>
      </c>
      <c r="B6336" t="s">
        <v>3</v>
      </c>
    </row>
    <row r="6337" spans="1:2" x14ac:dyDescent="0.2">
      <c r="A6337" t="str">
        <f>"GHRHR"</f>
        <v>GHRHR</v>
      </c>
      <c r="B6337" t="s">
        <v>7</v>
      </c>
    </row>
    <row r="6338" spans="1:2" x14ac:dyDescent="0.2">
      <c r="A6338" t="str">
        <f>"GHRL"</f>
        <v>GHRL</v>
      </c>
      <c r="B6338" t="s">
        <v>4</v>
      </c>
    </row>
    <row r="6339" spans="1:2" x14ac:dyDescent="0.2">
      <c r="A6339" t="str">
        <f>"GHSR"</f>
        <v>GHSR</v>
      </c>
      <c r="B6339" t="s">
        <v>2</v>
      </c>
    </row>
    <row r="6340" spans="1:2" x14ac:dyDescent="0.2">
      <c r="A6340" t="str">
        <f>"GID4"</f>
        <v>GID4</v>
      </c>
      <c r="B6340" t="s">
        <v>2</v>
      </c>
    </row>
    <row r="6341" spans="1:2" x14ac:dyDescent="0.2">
      <c r="A6341" t="str">
        <f>"GID8"</f>
        <v>GID8</v>
      </c>
      <c r="B6341" t="s">
        <v>4</v>
      </c>
    </row>
    <row r="6342" spans="1:2" x14ac:dyDescent="0.2">
      <c r="A6342" t="str">
        <f>"GIF"</f>
        <v>GIF</v>
      </c>
      <c r="B6342" t="s">
        <v>4</v>
      </c>
    </row>
    <row r="6343" spans="1:2" x14ac:dyDescent="0.2">
      <c r="A6343" t="str">
        <f>"GIGYF1"</f>
        <v>GIGYF1</v>
      </c>
      <c r="B6343" t="s">
        <v>3</v>
      </c>
    </row>
    <row r="6344" spans="1:2" x14ac:dyDescent="0.2">
      <c r="A6344" t="str">
        <f>"GIGYF2"</f>
        <v>GIGYF2</v>
      </c>
      <c r="B6344" t="s">
        <v>4</v>
      </c>
    </row>
    <row r="6345" spans="1:2" x14ac:dyDescent="0.2">
      <c r="A6345" t="str">
        <f>"GIMAP1"</f>
        <v>GIMAP1</v>
      </c>
      <c r="B6345" t="s">
        <v>2</v>
      </c>
    </row>
    <row r="6346" spans="1:2" x14ac:dyDescent="0.2">
      <c r="A6346" t="str">
        <f>"GIMAP1-GIMAP5"</f>
        <v>GIMAP1-GIMAP5</v>
      </c>
      <c r="B6346" t="s">
        <v>4</v>
      </c>
    </row>
    <row r="6347" spans="1:2" x14ac:dyDescent="0.2">
      <c r="A6347" t="str">
        <f>"GIMAP2"</f>
        <v>GIMAP2</v>
      </c>
      <c r="B6347" t="s">
        <v>5</v>
      </c>
    </row>
    <row r="6348" spans="1:2" x14ac:dyDescent="0.2">
      <c r="A6348" t="str">
        <f>"GIMAP4"</f>
        <v>GIMAP4</v>
      </c>
      <c r="B6348" t="s">
        <v>4</v>
      </c>
    </row>
    <row r="6349" spans="1:2" x14ac:dyDescent="0.2">
      <c r="A6349" t="str">
        <f>"GIMAP5"</f>
        <v>GIMAP5</v>
      </c>
      <c r="B6349" t="s">
        <v>6</v>
      </c>
    </row>
    <row r="6350" spans="1:2" x14ac:dyDescent="0.2">
      <c r="A6350" t="str">
        <f>"GIMAP6"</f>
        <v>GIMAP6</v>
      </c>
      <c r="B6350" t="s">
        <v>4</v>
      </c>
    </row>
    <row r="6351" spans="1:2" x14ac:dyDescent="0.2">
      <c r="A6351" t="str">
        <f>"GIMAP7"</f>
        <v>GIMAP7</v>
      </c>
      <c r="B6351" t="s">
        <v>4</v>
      </c>
    </row>
    <row r="6352" spans="1:2" x14ac:dyDescent="0.2">
      <c r="A6352" t="str">
        <f>"GIMAP8"</f>
        <v>GIMAP8</v>
      </c>
      <c r="B6352" t="s">
        <v>6</v>
      </c>
    </row>
    <row r="6353" spans="1:2" x14ac:dyDescent="0.2">
      <c r="A6353" t="str">
        <f>"GIMD1"</f>
        <v>GIMD1</v>
      </c>
      <c r="B6353" t="s">
        <v>4</v>
      </c>
    </row>
    <row r="6354" spans="1:2" x14ac:dyDescent="0.2">
      <c r="A6354" t="str">
        <f>"GIN1"</f>
        <v>GIN1</v>
      </c>
      <c r="B6354" t="s">
        <v>8</v>
      </c>
    </row>
    <row r="6355" spans="1:2" x14ac:dyDescent="0.2">
      <c r="A6355" t="str">
        <f>"GINM1"</f>
        <v>GINM1</v>
      </c>
      <c r="B6355" t="s">
        <v>5</v>
      </c>
    </row>
    <row r="6356" spans="1:2" x14ac:dyDescent="0.2">
      <c r="A6356" t="str">
        <f>"GINS1"</f>
        <v>GINS1</v>
      </c>
      <c r="B6356" t="s">
        <v>3</v>
      </c>
    </row>
    <row r="6357" spans="1:2" x14ac:dyDescent="0.2">
      <c r="A6357" t="str">
        <f>"GINS2"</f>
        <v>GINS2</v>
      </c>
      <c r="B6357" t="s">
        <v>3</v>
      </c>
    </row>
    <row r="6358" spans="1:2" x14ac:dyDescent="0.2">
      <c r="A6358" t="str">
        <f>"GINS3"</f>
        <v>GINS3</v>
      </c>
      <c r="B6358" t="s">
        <v>4</v>
      </c>
    </row>
    <row r="6359" spans="1:2" x14ac:dyDescent="0.2">
      <c r="A6359" t="str">
        <f>"GINS4"</f>
        <v>GINS4</v>
      </c>
      <c r="B6359" t="s">
        <v>3</v>
      </c>
    </row>
    <row r="6360" spans="1:2" x14ac:dyDescent="0.2">
      <c r="A6360" t="str">
        <f>"GIP"</f>
        <v>GIP</v>
      </c>
      <c r="B6360" t="s">
        <v>4</v>
      </c>
    </row>
    <row r="6361" spans="1:2" x14ac:dyDescent="0.2">
      <c r="A6361" t="str">
        <f>"GIPC1"</f>
        <v>GIPC1</v>
      </c>
      <c r="B6361" t="s">
        <v>2</v>
      </c>
    </row>
    <row r="6362" spans="1:2" x14ac:dyDescent="0.2">
      <c r="A6362" t="str">
        <f>"GIPC2"</f>
        <v>GIPC2</v>
      </c>
      <c r="B6362" t="s">
        <v>4</v>
      </c>
    </row>
    <row r="6363" spans="1:2" x14ac:dyDescent="0.2">
      <c r="A6363" t="str">
        <f>"GIPC3"</f>
        <v>GIPC3</v>
      </c>
      <c r="B6363" t="s">
        <v>2</v>
      </c>
    </row>
    <row r="6364" spans="1:2" x14ac:dyDescent="0.2">
      <c r="A6364" t="str">
        <f>"GIPR"</f>
        <v>GIPR</v>
      </c>
      <c r="B6364" t="s">
        <v>5</v>
      </c>
    </row>
    <row r="6365" spans="1:2" x14ac:dyDescent="0.2">
      <c r="A6365" t="str">
        <f>"GIT1"</f>
        <v>GIT1</v>
      </c>
      <c r="B6365" t="s">
        <v>7</v>
      </c>
    </row>
    <row r="6366" spans="1:2" x14ac:dyDescent="0.2">
      <c r="A6366" t="str">
        <f>"GIT2"</f>
        <v>GIT2</v>
      </c>
      <c r="B6366" t="s">
        <v>7</v>
      </c>
    </row>
    <row r="6367" spans="1:2" x14ac:dyDescent="0.2">
      <c r="A6367" t="str">
        <f>"GJA1"</f>
        <v>GJA1</v>
      </c>
      <c r="B6367" t="s">
        <v>3</v>
      </c>
    </row>
    <row r="6368" spans="1:2" x14ac:dyDescent="0.2">
      <c r="A6368" t="str">
        <f>"GJA10"</f>
        <v>GJA10</v>
      </c>
      <c r="B6368" t="s">
        <v>5</v>
      </c>
    </row>
    <row r="6369" spans="1:2" x14ac:dyDescent="0.2">
      <c r="A6369" t="str">
        <f>"GJA3"</f>
        <v>GJA3</v>
      </c>
      <c r="B6369" t="s">
        <v>2</v>
      </c>
    </row>
    <row r="6370" spans="1:2" x14ac:dyDescent="0.2">
      <c r="A6370" t="str">
        <f>"GJA4"</f>
        <v>GJA4</v>
      </c>
      <c r="B6370" t="s">
        <v>5</v>
      </c>
    </row>
    <row r="6371" spans="1:2" x14ac:dyDescent="0.2">
      <c r="A6371" t="str">
        <f>"GJA5"</f>
        <v>GJA5</v>
      </c>
      <c r="B6371" t="s">
        <v>6</v>
      </c>
    </row>
    <row r="6372" spans="1:2" x14ac:dyDescent="0.2">
      <c r="A6372" t="str">
        <f>"GJA8"</f>
        <v>GJA8</v>
      </c>
      <c r="B6372" t="s">
        <v>5</v>
      </c>
    </row>
    <row r="6373" spans="1:2" x14ac:dyDescent="0.2">
      <c r="A6373" t="str">
        <f>"GJA9"</f>
        <v>GJA9</v>
      </c>
      <c r="B6373" t="s">
        <v>6</v>
      </c>
    </row>
    <row r="6374" spans="1:2" x14ac:dyDescent="0.2">
      <c r="A6374" t="str">
        <f>"GJB1"</f>
        <v>GJB1</v>
      </c>
      <c r="B6374" t="s">
        <v>2</v>
      </c>
    </row>
    <row r="6375" spans="1:2" x14ac:dyDescent="0.2">
      <c r="A6375" t="str">
        <f>"GJB2"</f>
        <v>GJB2</v>
      </c>
      <c r="B6375" t="s">
        <v>6</v>
      </c>
    </row>
    <row r="6376" spans="1:2" x14ac:dyDescent="0.2">
      <c r="A6376" t="str">
        <f>"GJB3"</f>
        <v>GJB3</v>
      </c>
      <c r="B6376" t="s">
        <v>5</v>
      </c>
    </row>
    <row r="6377" spans="1:2" x14ac:dyDescent="0.2">
      <c r="A6377" t="str">
        <f>"GJB4"</f>
        <v>GJB4</v>
      </c>
      <c r="B6377" t="s">
        <v>5</v>
      </c>
    </row>
    <row r="6378" spans="1:2" x14ac:dyDescent="0.2">
      <c r="A6378" t="str">
        <f>"GJB5"</f>
        <v>GJB5</v>
      </c>
      <c r="B6378" t="s">
        <v>5</v>
      </c>
    </row>
    <row r="6379" spans="1:2" x14ac:dyDescent="0.2">
      <c r="A6379" t="str">
        <f>"GJB6"</f>
        <v>GJB6</v>
      </c>
      <c r="B6379" t="s">
        <v>5</v>
      </c>
    </row>
    <row r="6380" spans="1:2" x14ac:dyDescent="0.2">
      <c r="A6380" t="str">
        <f>"GJB7"</f>
        <v>GJB7</v>
      </c>
      <c r="B6380" t="s">
        <v>5</v>
      </c>
    </row>
    <row r="6381" spans="1:2" x14ac:dyDescent="0.2">
      <c r="A6381" t="str">
        <f>"GJC1"</f>
        <v>GJC1</v>
      </c>
      <c r="B6381" t="s">
        <v>5</v>
      </c>
    </row>
    <row r="6382" spans="1:2" x14ac:dyDescent="0.2">
      <c r="A6382" t="str">
        <f>"GJC2"</f>
        <v>GJC2</v>
      </c>
      <c r="B6382" t="s">
        <v>5</v>
      </c>
    </row>
    <row r="6383" spans="1:2" x14ac:dyDescent="0.2">
      <c r="A6383" t="str">
        <f>"GJC3"</f>
        <v>GJC3</v>
      </c>
      <c r="B6383" t="s">
        <v>5</v>
      </c>
    </row>
    <row r="6384" spans="1:2" x14ac:dyDescent="0.2">
      <c r="A6384" t="str">
        <f>"GJD2"</f>
        <v>GJD2</v>
      </c>
      <c r="B6384" t="s">
        <v>5</v>
      </c>
    </row>
    <row r="6385" spans="1:2" x14ac:dyDescent="0.2">
      <c r="A6385" t="str">
        <f>"GJD3"</f>
        <v>GJD3</v>
      </c>
      <c r="B6385" t="s">
        <v>5</v>
      </c>
    </row>
    <row r="6386" spans="1:2" x14ac:dyDescent="0.2">
      <c r="A6386" t="str">
        <f>"GJD4"</f>
        <v>GJD4</v>
      </c>
      <c r="B6386" t="s">
        <v>5</v>
      </c>
    </row>
    <row r="6387" spans="1:2" x14ac:dyDescent="0.2">
      <c r="A6387" t="str">
        <f>"GJE1"</f>
        <v>GJE1</v>
      </c>
      <c r="B6387" t="s">
        <v>5</v>
      </c>
    </row>
    <row r="6388" spans="1:2" x14ac:dyDescent="0.2">
      <c r="A6388" t="str">
        <f>"GK"</f>
        <v>GK</v>
      </c>
      <c r="B6388" t="s">
        <v>7</v>
      </c>
    </row>
    <row r="6389" spans="1:2" x14ac:dyDescent="0.2">
      <c r="A6389" t="str">
        <f>"GK2"</f>
        <v>GK2</v>
      </c>
      <c r="B6389" t="s">
        <v>7</v>
      </c>
    </row>
    <row r="6390" spans="1:2" x14ac:dyDescent="0.2">
      <c r="A6390" t="str">
        <f>"GK5"</f>
        <v>GK5</v>
      </c>
      <c r="B6390" t="s">
        <v>7</v>
      </c>
    </row>
    <row r="6391" spans="1:2" x14ac:dyDescent="0.2">
      <c r="A6391" t="str">
        <f>"GKAP1"</f>
        <v>GKAP1</v>
      </c>
      <c r="B6391" t="s">
        <v>7</v>
      </c>
    </row>
    <row r="6392" spans="1:2" x14ac:dyDescent="0.2">
      <c r="A6392" t="str">
        <f>"GKN1"</f>
        <v>GKN1</v>
      </c>
      <c r="B6392" t="s">
        <v>6</v>
      </c>
    </row>
    <row r="6393" spans="1:2" x14ac:dyDescent="0.2">
      <c r="A6393" t="str">
        <f>"GKN2"</f>
        <v>GKN2</v>
      </c>
      <c r="B6393" t="s">
        <v>4</v>
      </c>
    </row>
    <row r="6394" spans="1:2" x14ac:dyDescent="0.2">
      <c r="A6394" t="str">
        <f>"GLA"</f>
        <v>GLA</v>
      </c>
      <c r="B6394" t="s">
        <v>7</v>
      </c>
    </row>
    <row r="6395" spans="1:2" x14ac:dyDescent="0.2">
      <c r="A6395" t="str">
        <f>"GLB1"</f>
        <v>GLB1</v>
      </c>
      <c r="B6395" t="s">
        <v>2</v>
      </c>
    </row>
    <row r="6396" spans="1:2" x14ac:dyDescent="0.2">
      <c r="A6396" t="str">
        <f>"GLB1L"</f>
        <v>GLB1L</v>
      </c>
      <c r="B6396" t="s">
        <v>2</v>
      </c>
    </row>
    <row r="6397" spans="1:2" x14ac:dyDescent="0.2">
      <c r="A6397" t="str">
        <f>"GLB1L2"</f>
        <v>GLB1L2</v>
      </c>
      <c r="B6397" t="s">
        <v>4</v>
      </c>
    </row>
    <row r="6398" spans="1:2" x14ac:dyDescent="0.2">
      <c r="A6398" t="str">
        <f>"GLB1L3"</f>
        <v>GLB1L3</v>
      </c>
      <c r="B6398" t="s">
        <v>4</v>
      </c>
    </row>
    <row r="6399" spans="1:2" x14ac:dyDescent="0.2">
      <c r="A6399" t="str">
        <f>"GLCCI1"</f>
        <v>GLCCI1</v>
      </c>
      <c r="B6399" t="s">
        <v>3</v>
      </c>
    </row>
    <row r="6400" spans="1:2" x14ac:dyDescent="0.2">
      <c r="A6400" t="str">
        <f>"GLCE"</f>
        <v>GLCE</v>
      </c>
      <c r="B6400" t="s">
        <v>2</v>
      </c>
    </row>
    <row r="6401" spans="1:2" x14ac:dyDescent="0.2">
      <c r="A6401" t="str">
        <f>"GLDC"</f>
        <v>GLDC</v>
      </c>
      <c r="B6401" t="s">
        <v>7</v>
      </c>
    </row>
    <row r="6402" spans="1:2" x14ac:dyDescent="0.2">
      <c r="A6402" t="str">
        <f>"GLDN"</f>
        <v>GLDN</v>
      </c>
      <c r="B6402" t="s">
        <v>4</v>
      </c>
    </row>
    <row r="6403" spans="1:2" x14ac:dyDescent="0.2">
      <c r="A6403" t="str">
        <f>"GLE1"</f>
        <v>GLE1</v>
      </c>
      <c r="B6403" t="s">
        <v>2</v>
      </c>
    </row>
    <row r="6404" spans="1:2" x14ac:dyDescent="0.2">
      <c r="A6404" t="str">
        <f>"GLG1"</f>
        <v>GLG1</v>
      </c>
      <c r="B6404" t="s">
        <v>3</v>
      </c>
    </row>
    <row r="6405" spans="1:2" x14ac:dyDescent="0.2">
      <c r="A6405" t="str">
        <f>"GLI1"</f>
        <v>GLI1</v>
      </c>
      <c r="B6405" t="s">
        <v>3</v>
      </c>
    </row>
    <row r="6406" spans="1:2" x14ac:dyDescent="0.2">
      <c r="A6406" t="str">
        <f>"GLI2"</f>
        <v>GLI2</v>
      </c>
      <c r="B6406" t="s">
        <v>2</v>
      </c>
    </row>
    <row r="6407" spans="1:2" x14ac:dyDescent="0.2">
      <c r="A6407" t="str">
        <f>"GLI3"</f>
        <v>GLI3</v>
      </c>
      <c r="B6407" t="s">
        <v>3</v>
      </c>
    </row>
    <row r="6408" spans="1:2" x14ac:dyDescent="0.2">
      <c r="A6408" t="str">
        <f>"GLI4"</f>
        <v>GLI4</v>
      </c>
      <c r="B6408" t="s">
        <v>8</v>
      </c>
    </row>
    <row r="6409" spans="1:2" x14ac:dyDescent="0.2">
      <c r="A6409" t="str">
        <f>"GLIPR1"</f>
        <v>GLIPR1</v>
      </c>
      <c r="B6409" t="s">
        <v>5</v>
      </c>
    </row>
    <row r="6410" spans="1:2" x14ac:dyDescent="0.2">
      <c r="A6410" t="str">
        <f>"GLIPR1L1"</f>
        <v>GLIPR1L1</v>
      </c>
      <c r="B6410" t="s">
        <v>5</v>
      </c>
    </row>
    <row r="6411" spans="1:2" x14ac:dyDescent="0.2">
      <c r="A6411" t="str">
        <f>"GLIPR1L2"</f>
        <v>GLIPR1L2</v>
      </c>
      <c r="B6411" t="s">
        <v>5</v>
      </c>
    </row>
    <row r="6412" spans="1:2" x14ac:dyDescent="0.2">
      <c r="A6412" t="str">
        <f>"GLIPR2"</f>
        <v>GLIPR2</v>
      </c>
      <c r="B6412" t="s">
        <v>7</v>
      </c>
    </row>
    <row r="6413" spans="1:2" x14ac:dyDescent="0.2">
      <c r="A6413" t="str">
        <f>"GLIS1"</f>
        <v>GLIS1</v>
      </c>
      <c r="B6413" t="s">
        <v>8</v>
      </c>
    </row>
    <row r="6414" spans="1:2" x14ac:dyDescent="0.2">
      <c r="A6414" t="str">
        <f>"GLIS2"</f>
        <v>GLIS2</v>
      </c>
      <c r="B6414" t="s">
        <v>8</v>
      </c>
    </row>
    <row r="6415" spans="1:2" x14ac:dyDescent="0.2">
      <c r="A6415" t="str">
        <f>"GLIS3"</f>
        <v>GLIS3</v>
      </c>
      <c r="B6415" t="s">
        <v>8</v>
      </c>
    </row>
    <row r="6416" spans="1:2" x14ac:dyDescent="0.2">
      <c r="A6416" t="str">
        <f>"GLMN"</f>
        <v>GLMN</v>
      </c>
      <c r="B6416" t="s">
        <v>4</v>
      </c>
    </row>
    <row r="6417" spans="1:2" x14ac:dyDescent="0.2">
      <c r="A6417" t="str">
        <f>"GLO1"</f>
        <v>GLO1</v>
      </c>
      <c r="B6417" t="s">
        <v>3</v>
      </c>
    </row>
    <row r="6418" spans="1:2" x14ac:dyDescent="0.2">
      <c r="A6418" t="str">
        <f>"GLOD4"</f>
        <v>GLOD4</v>
      </c>
      <c r="B6418" t="s">
        <v>6</v>
      </c>
    </row>
    <row r="6419" spans="1:2" x14ac:dyDescent="0.2">
      <c r="A6419" t="str">
        <f>"GLOD5"</f>
        <v>GLOD5</v>
      </c>
      <c r="B6419" t="s">
        <v>4</v>
      </c>
    </row>
    <row r="6420" spans="1:2" x14ac:dyDescent="0.2">
      <c r="A6420" t="str">
        <f>"GLP1R"</f>
        <v>GLP1R</v>
      </c>
      <c r="B6420" t="s">
        <v>7</v>
      </c>
    </row>
    <row r="6421" spans="1:2" x14ac:dyDescent="0.2">
      <c r="A6421" t="str">
        <f>"GLP2R"</f>
        <v>GLP2R</v>
      </c>
      <c r="B6421" t="s">
        <v>7</v>
      </c>
    </row>
    <row r="6422" spans="1:2" x14ac:dyDescent="0.2">
      <c r="A6422" t="str">
        <f>"GLRA1"</f>
        <v>GLRA1</v>
      </c>
      <c r="B6422" t="s">
        <v>7</v>
      </c>
    </row>
    <row r="6423" spans="1:2" x14ac:dyDescent="0.2">
      <c r="A6423" t="str">
        <f>"GLRA2"</f>
        <v>GLRA2</v>
      </c>
      <c r="B6423" t="s">
        <v>7</v>
      </c>
    </row>
    <row r="6424" spans="1:2" x14ac:dyDescent="0.2">
      <c r="A6424" t="str">
        <f>"GLRA3"</f>
        <v>GLRA3</v>
      </c>
      <c r="B6424" t="s">
        <v>7</v>
      </c>
    </row>
    <row r="6425" spans="1:2" x14ac:dyDescent="0.2">
      <c r="A6425" t="str">
        <f>"GLRA4"</f>
        <v>GLRA4</v>
      </c>
      <c r="B6425" t="s">
        <v>2</v>
      </c>
    </row>
    <row r="6426" spans="1:2" x14ac:dyDescent="0.2">
      <c r="A6426" t="str">
        <f>"GLRB"</f>
        <v>GLRB</v>
      </c>
      <c r="B6426" t="s">
        <v>7</v>
      </c>
    </row>
    <row r="6427" spans="1:2" x14ac:dyDescent="0.2">
      <c r="A6427" t="str">
        <f>"GLRX"</f>
        <v>GLRX</v>
      </c>
      <c r="B6427" t="s">
        <v>7</v>
      </c>
    </row>
    <row r="6428" spans="1:2" x14ac:dyDescent="0.2">
      <c r="A6428" t="str">
        <f>"GLRX2"</f>
        <v>GLRX2</v>
      </c>
      <c r="B6428" t="s">
        <v>7</v>
      </c>
    </row>
    <row r="6429" spans="1:2" x14ac:dyDescent="0.2">
      <c r="A6429" t="str">
        <f>"GLRX3"</f>
        <v>GLRX3</v>
      </c>
      <c r="B6429" t="s">
        <v>3</v>
      </c>
    </row>
    <row r="6430" spans="1:2" x14ac:dyDescent="0.2">
      <c r="A6430" t="str">
        <f>"GLRX5"</f>
        <v>GLRX5</v>
      </c>
      <c r="B6430" t="s">
        <v>6</v>
      </c>
    </row>
    <row r="6431" spans="1:2" x14ac:dyDescent="0.2">
      <c r="A6431" t="str">
        <f>"GLS"</f>
        <v>GLS</v>
      </c>
      <c r="B6431" t="s">
        <v>7</v>
      </c>
    </row>
    <row r="6432" spans="1:2" x14ac:dyDescent="0.2">
      <c r="A6432" t="str">
        <f>"GLS2"</f>
        <v>GLS2</v>
      </c>
      <c r="B6432" t="s">
        <v>7</v>
      </c>
    </row>
    <row r="6433" spans="1:2" x14ac:dyDescent="0.2">
      <c r="A6433" t="str">
        <f>"GLT1D1"</f>
        <v>GLT1D1</v>
      </c>
      <c r="B6433" t="s">
        <v>3</v>
      </c>
    </row>
    <row r="6434" spans="1:2" x14ac:dyDescent="0.2">
      <c r="A6434" t="str">
        <f>"GLT6D1"</f>
        <v>GLT6D1</v>
      </c>
      <c r="B6434" t="s">
        <v>7</v>
      </c>
    </row>
    <row r="6435" spans="1:2" x14ac:dyDescent="0.2">
      <c r="A6435" t="str">
        <f>"GLT8D1"</f>
        <v>GLT8D1</v>
      </c>
      <c r="B6435" t="s">
        <v>6</v>
      </c>
    </row>
    <row r="6436" spans="1:2" x14ac:dyDescent="0.2">
      <c r="A6436" t="str">
        <f>"GLT8D2"</f>
        <v>GLT8D2</v>
      </c>
      <c r="B6436" t="s">
        <v>5</v>
      </c>
    </row>
    <row r="6437" spans="1:2" x14ac:dyDescent="0.2">
      <c r="A6437" t="str">
        <f>"GLTP"</f>
        <v>GLTP</v>
      </c>
      <c r="B6437" t="s">
        <v>7</v>
      </c>
    </row>
    <row r="6438" spans="1:2" x14ac:dyDescent="0.2">
      <c r="A6438" t="str">
        <f>"GLTPD1"</f>
        <v>GLTPD1</v>
      </c>
      <c r="B6438" t="s">
        <v>4</v>
      </c>
    </row>
    <row r="6439" spans="1:2" x14ac:dyDescent="0.2">
      <c r="A6439" t="str">
        <f>"GLTPD2"</f>
        <v>GLTPD2</v>
      </c>
      <c r="B6439" t="s">
        <v>2</v>
      </c>
    </row>
    <row r="6440" spans="1:2" x14ac:dyDescent="0.2">
      <c r="A6440" t="str">
        <f>"GLTSCR1"</f>
        <v>GLTSCR1</v>
      </c>
      <c r="B6440" t="s">
        <v>3</v>
      </c>
    </row>
    <row r="6441" spans="1:2" x14ac:dyDescent="0.2">
      <c r="A6441" t="str">
        <f>"GLTSCR1L"</f>
        <v>GLTSCR1L</v>
      </c>
      <c r="B6441" t="s">
        <v>4</v>
      </c>
    </row>
    <row r="6442" spans="1:2" x14ac:dyDescent="0.2">
      <c r="A6442" t="str">
        <f>"GLTSCR2"</f>
        <v>GLTSCR2</v>
      </c>
      <c r="B6442" t="s">
        <v>8</v>
      </c>
    </row>
    <row r="6443" spans="1:2" x14ac:dyDescent="0.2">
      <c r="A6443" t="str">
        <f>"GLUD1"</f>
        <v>GLUD1</v>
      </c>
      <c r="B6443" t="s">
        <v>7</v>
      </c>
    </row>
    <row r="6444" spans="1:2" x14ac:dyDescent="0.2">
      <c r="A6444" t="str">
        <f>"GLUD2"</f>
        <v>GLUD2</v>
      </c>
      <c r="B6444" t="s">
        <v>7</v>
      </c>
    </row>
    <row r="6445" spans="1:2" x14ac:dyDescent="0.2">
      <c r="A6445" t="str">
        <f>"GLUL"</f>
        <v>GLUL</v>
      </c>
      <c r="B6445" t="s">
        <v>7</v>
      </c>
    </row>
    <row r="6446" spans="1:2" x14ac:dyDescent="0.2">
      <c r="A6446" t="str">
        <f>"GLYAT"</f>
        <v>GLYAT</v>
      </c>
      <c r="B6446" t="s">
        <v>7</v>
      </c>
    </row>
    <row r="6447" spans="1:2" x14ac:dyDescent="0.2">
      <c r="A6447" t="str">
        <f>"GLYATL1"</f>
        <v>GLYATL1</v>
      </c>
      <c r="B6447" t="s">
        <v>7</v>
      </c>
    </row>
    <row r="6448" spans="1:2" x14ac:dyDescent="0.2">
      <c r="A6448" t="str">
        <f>"GLYATL2"</f>
        <v>GLYATL2</v>
      </c>
      <c r="B6448" t="s">
        <v>7</v>
      </c>
    </row>
    <row r="6449" spans="1:2" x14ac:dyDescent="0.2">
      <c r="A6449" t="str">
        <f>"GLYATL3"</f>
        <v>GLYATL3</v>
      </c>
      <c r="B6449" t="s">
        <v>6</v>
      </c>
    </row>
    <row r="6450" spans="1:2" x14ac:dyDescent="0.2">
      <c r="A6450" t="str">
        <f>"GLYCTK"</f>
        <v>GLYCTK</v>
      </c>
      <c r="B6450" t="s">
        <v>2</v>
      </c>
    </row>
    <row r="6451" spans="1:2" x14ac:dyDescent="0.2">
      <c r="A6451" t="str">
        <f>"GLYR1"</f>
        <v>GLYR1</v>
      </c>
      <c r="B6451" t="s">
        <v>8</v>
      </c>
    </row>
    <row r="6452" spans="1:2" x14ac:dyDescent="0.2">
      <c r="A6452" t="str">
        <f>"GM2A"</f>
        <v>GM2A</v>
      </c>
      <c r="B6452" t="s">
        <v>7</v>
      </c>
    </row>
    <row r="6453" spans="1:2" x14ac:dyDescent="0.2">
      <c r="A6453" t="str">
        <f>"GMCL1"</f>
        <v>GMCL1</v>
      </c>
      <c r="B6453" t="s">
        <v>2</v>
      </c>
    </row>
    <row r="6454" spans="1:2" x14ac:dyDescent="0.2">
      <c r="A6454" t="str">
        <f>"GMDS"</f>
        <v>GMDS</v>
      </c>
      <c r="B6454" t="s">
        <v>7</v>
      </c>
    </row>
    <row r="6455" spans="1:2" x14ac:dyDescent="0.2">
      <c r="A6455" t="str">
        <f>"GMEB1"</f>
        <v>GMEB1</v>
      </c>
      <c r="B6455" t="s">
        <v>8</v>
      </c>
    </row>
    <row r="6456" spans="1:2" x14ac:dyDescent="0.2">
      <c r="A6456" t="str">
        <f>"GMEB2"</f>
        <v>GMEB2</v>
      </c>
      <c r="B6456" t="s">
        <v>8</v>
      </c>
    </row>
    <row r="6457" spans="1:2" x14ac:dyDescent="0.2">
      <c r="A6457" t="str">
        <f>"GMFB"</f>
        <v>GMFB</v>
      </c>
      <c r="B6457" t="s">
        <v>4</v>
      </c>
    </row>
    <row r="6458" spans="1:2" x14ac:dyDescent="0.2">
      <c r="A6458" t="str">
        <f>"GMFG"</f>
        <v>GMFG</v>
      </c>
      <c r="B6458" t="s">
        <v>4</v>
      </c>
    </row>
    <row r="6459" spans="1:2" x14ac:dyDescent="0.2">
      <c r="A6459" t="str">
        <f>"GMIP"</f>
        <v>GMIP</v>
      </c>
      <c r="B6459" t="s">
        <v>4</v>
      </c>
    </row>
    <row r="6460" spans="1:2" x14ac:dyDescent="0.2">
      <c r="A6460" t="str">
        <f>"GML"</f>
        <v>GML</v>
      </c>
      <c r="B6460" t="s">
        <v>3</v>
      </c>
    </row>
    <row r="6461" spans="1:2" x14ac:dyDescent="0.2">
      <c r="A6461" t="str">
        <f>"GMNC"</f>
        <v>GMNC</v>
      </c>
      <c r="B6461" t="s">
        <v>4</v>
      </c>
    </row>
    <row r="6462" spans="1:2" x14ac:dyDescent="0.2">
      <c r="A6462" t="str">
        <f>"GMNN"</f>
        <v>GMNN</v>
      </c>
      <c r="B6462" t="s">
        <v>3</v>
      </c>
    </row>
    <row r="6463" spans="1:2" x14ac:dyDescent="0.2">
      <c r="A6463" t="str">
        <f>"GMPPA"</f>
        <v>GMPPA</v>
      </c>
      <c r="B6463" t="s">
        <v>6</v>
      </c>
    </row>
    <row r="6464" spans="1:2" x14ac:dyDescent="0.2">
      <c r="A6464" t="str">
        <f>"GMPPB"</f>
        <v>GMPPB</v>
      </c>
      <c r="B6464" t="s">
        <v>2</v>
      </c>
    </row>
    <row r="6465" spans="1:2" x14ac:dyDescent="0.2">
      <c r="A6465" t="str">
        <f>"GMPR"</f>
        <v>GMPR</v>
      </c>
      <c r="B6465" t="s">
        <v>7</v>
      </c>
    </row>
    <row r="6466" spans="1:2" x14ac:dyDescent="0.2">
      <c r="A6466" t="str">
        <f>"GMPR2"</f>
        <v>GMPR2</v>
      </c>
      <c r="B6466" t="s">
        <v>3</v>
      </c>
    </row>
    <row r="6467" spans="1:2" x14ac:dyDescent="0.2">
      <c r="A6467" t="str">
        <f>"GMPS"</f>
        <v>GMPS</v>
      </c>
      <c r="B6467" t="s">
        <v>3</v>
      </c>
    </row>
    <row r="6468" spans="1:2" x14ac:dyDescent="0.2">
      <c r="A6468" t="str">
        <f>"GNA11"</f>
        <v>GNA11</v>
      </c>
      <c r="B6468" t="s">
        <v>2</v>
      </c>
    </row>
    <row r="6469" spans="1:2" x14ac:dyDescent="0.2">
      <c r="A6469" t="str">
        <f>"GNA12"</f>
        <v>GNA12</v>
      </c>
      <c r="B6469" t="s">
        <v>3</v>
      </c>
    </row>
    <row r="6470" spans="1:2" x14ac:dyDescent="0.2">
      <c r="A6470" t="str">
        <f>"GNA13"</f>
        <v>GNA13</v>
      </c>
      <c r="B6470" t="s">
        <v>2</v>
      </c>
    </row>
    <row r="6471" spans="1:2" x14ac:dyDescent="0.2">
      <c r="A6471" t="str">
        <f>"GNA14"</f>
        <v>GNA14</v>
      </c>
      <c r="B6471" t="s">
        <v>6</v>
      </c>
    </row>
    <row r="6472" spans="1:2" x14ac:dyDescent="0.2">
      <c r="A6472" t="str">
        <f>"GNA15"</f>
        <v>GNA15</v>
      </c>
      <c r="B6472" t="s">
        <v>6</v>
      </c>
    </row>
    <row r="6473" spans="1:2" x14ac:dyDescent="0.2">
      <c r="A6473" t="str">
        <f>"GNAI1"</f>
        <v>GNAI1</v>
      </c>
      <c r="B6473" t="s">
        <v>3</v>
      </c>
    </row>
    <row r="6474" spans="1:2" x14ac:dyDescent="0.2">
      <c r="A6474" t="str">
        <f>"GNAI2"</f>
        <v>GNAI2</v>
      </c>
      <c r="B6474" t="s">
        <v>2</v>
      </c>
    </row>
    <row r="6475" spans="1:2" x14ac:dyDescent="0.2">
      <c r="A6475" t="str">
        <f>"GNAI3"</f>
        <v>GNAI3</v>
      </c>
      <c r="B6475" t="s">
        <v>2</v>
      </c>
    </row>
    <row r="6476" spans="1:2" x14ac:dyDescent="0.2">
      <c r="A6476" t="str">
        <f>"GNAL"</f>
        <v>GNAL</v>
      </c>
      <c r="B6476" t="s">
        <v>6</v>
      </c>
    </row>
    <row r="6477" spans="1:2" x14ac:dyDescent="0.2">
      <c r="A6477" t="str">
        <f>"GNAO1"</f>
        <v>GNAO1</v>
      </c>
      <c r="B6477" t="s">
        <v>2</v>
      </c>
    </row>
    <row r="6478" spans="1:2" x14ac:dyDescent="0.2">
      <c r="A6478" t="str">
        <f>"GNAQ"</f>
        <v>GNAQ</v>
      </c>
      <c r="B6478" t="s">
        <v>2</v>
      </c>
    </row>
    <row r="6479" spans="1:2" x14ac:dyDescent="0.2">
      <c r="A6479" t="str">
        <f>"GNAS"</f>
        <v>GNAS</v>
      </c>
      <c r="B6479" t="s">
        <v>3</v>
      </c>
    </row>
    <row r="6480" spans="1:2" x14ac:dyDescent="0.2">
      <c r="A6480" t="str">
        <f>"GNAT1"</f>
        <v>GNAT1</v>
      </c>
      <c r="B6480" t="s">
        <v>7</v>
      </c>
    </row>
    <row r="6481" spans="1:2" x14ac:dyDescent="0.2">
      <c r="A6481" t="str">
        <f>"GNAT2"</f>
        <v>GNAT2</v>
      </c>
      <c r="B6481" t="s">
        <v>4</v>
      </c>
    </row>
    <row r="6482" spans="1:2" x14ac:dyDescent="0.2">
      <c r="A6482" t="str">
        <f>"GNAT3"</f>
        <v>GNAT3</v>
      </c>
      <c r="B6482" t="s">
        <v>8</v>
      </c>
    </row>
    <row r="6483" spans="1:2" x14ac:dyDescent="0.2">
      <c r="A6483" t="str">
        <f>"GNAZ"</f>
        <v>GNAZ</v>
      </c>
      <c r="B6483" t="s">
        <v>2</v>
      </c>
    </row>
    <row r="6484" spans="1:2" x14ac:dyDescent="0.2">
      <c r="A6484" t="str">
        <f>"GNB1"</f>
        <v>GNB1</v>
      </c>
      <c r="B6484" t="s">
        <v>7</v>
      </c>
    </row>
    <row r="6485" spans="1:2" x14ac:dyDescent="0.2">
      <c r="A6485" t="str">
        <f>"GNB1L"</f>
        <v>GNB1L</v>
      </c>
      <c r="B6485" t="s">
        <v>6</v>
      </c>
    </row>
    <row r="6486" spans="1:2" x14ac:dyDescent="0.2">
      <c r="A6486" t="str">
        <f>"GNB2"</f>
        <v>GNB2</v>
      </c>
      <c r="B6486" t="s">
        <v>3</v>
      </c>
    </row>
    <row r="6487" spans="1:2" x14ac:dyDescent="0.2">
      <c r="A6487" t="str">
        <f>"GNB2L1"</f>
        <v>GNB2L1</v>
      </c>
      <c r="B6487" t="s">
        <v>2</v>
      </c>
    </row>
    <row r="6488" spans="1:2" x14ac:dyDescent="0.2">
      <c r="A6488" t="str">
        <f>"GNB3"</f>
        <v>GNB3</v>
      </c>
      <c r="B6488" t="s">
        <v>6</v>
      </c>
    </row>
    <row r="6489" spans="1:2" x14ac:dyDescent="0.2">
      <c r="A6489" t="str">
        <f>"GNB4"</f>
        <v>GNB4</v>
      </c>
      <c r="B6489" t="s">
        <v>6</v>
      </c>
    </row>
    <row r="6490" spans="1:2" x14ac:dyDescent="0.2">
      <c r="A6490" t="str">
        <f>"GNB5"</f>
        <v>GNB5</v>
      </c>
      <c r="B6490" t="s">
        <v>3</v>
      </c>
    </row>
    <row r="6491" spans="1:2" x14ac:dyDescent="0.2">
      <c r="A6491" t="str">
        <f>"GNE"</f>
        <v>GNE</v>
      </c>
      <c r="B6491" t="s">
        <v>7</v>
      </c>
    </row>
    <row r="6492" spans="1:2" x14ac:dyDescent="0.2">
      <c r="A6492" t="str">
        <f>"GNG10"</f>
        <v>GNG10</v>
      </c>
      <c r="B6492" t="s">
        <v>3</v>
      </c>
    </row>
    <row r="6493" spans="1:2" x14ac:dyDescent="0.2">
      <c r="A6493" t="str">
        <f>"GNG11"</f>
        <v>GNG11</v>
      </c>
      <c r="B6493" t="s">
        <v>3</v>
      </c>
    </row>
    <row r="6494" spans="1:2" x14ac:dyDescent="0.2">
      <c r="A6494" t="str">
        <f>"GNG12"</f>
        <v>GNG12</v>
      </c>
      <c r="B6494" t="s">
        <v>4</v>
      </c>
    </row>
    <row r="6495" spans="1:2" x14ac:dyDescent="0.2">
      <c r="A6495" t="str">
        <f>"GNG13"</f>
        <v>GNG13</v>
      </c>
      <c r="B6495" t="s">
        <v>4</v>
      </c>
    </row>
    <row r="6496" spans="1:2" x14ac:dyDescent="0.2">
      <c r="A6496" t="str">
        <f>"GNG2"</f>
        <v>GNG2</v>
      </c>
      <c r="B6496" t="s">
        <v>7</v>
      </c>
    </row>
    <row r="6497" spans="1:2" x14ac:dyDescent="0.2">
      <c r="A6497" t="str">
        <f>"GNG3"</f>
        <v>GNG3</v>
      </c>
      <c r="B6497" t="s">
        <v>3</v>
      </c>
    </row>
    <row r="6498" spans="1:2" x14ac:dyDescent="0.2">
      <c r="A6498" t="str">
        <f>"GNG4"</f>
        <v>GNG4</v>
      </c>
      <c r="B6498" t="s">
        <v>6</v>
      </c>
    </row>
    <row r="6499" spans="1:2" x14ac:dyDescent="0.2">
      <c r="A6499" t="str">
        <f>"GNG5"</f>
        <v>GNG5</v>
      </c>
      <c r="B6499" t="s">
        <v>6</v>
      </c>
    </row>
    <row r="6500" spans="1:2" x14ac:dyDescent="0.2">
      <c r="A6500" t="str">
        <f>"GNG7"</f>
        <v>GNG7</v>
      </c>
      <c r="B6500" t="s">
        <v>3</v>
      </c>
    </row>
    <row r="6501" spans="1:2" x14ac:dyDescent="0.2">
      <c r="A6501" t="str">
        <f>"GNG8"</f>
        <v>GNG8</v>
      </c>
      <c r="B6501" t="s">
        <v>3</v>
      </c>
    </row>
    <row r="6502" spans="1:2" x14ac:dyDescent="0.2">
      <c r="A6502" t="str">
        <f>"GNGT1"</f>
        <v>GNGT1</v>
      </c>
      <c r="B6502" t="s">
        <v>7</v>
      </c>
    </row>
    <row r="6503" spans="1:2" x14ac:dyDescent="0.2">
      <c r="A6503" t="str">
        <f>"GNGT2"</f>
        <v>GNGT2</v>
      </c>
      <c r="B6503" t="s">
        <v>6</v>
      </c>
    </row>
    <row r="6504" spans="1:2" x14ac:dyDescent="0.2">
      <c r="A6504" t="str">
        <f>"GNL1"</f>
        <v>GNL1</v>
      </c>
      <c r="B6504" t="s">
        <v>3</v>
      </c>
    </row>
    <row r="6505" spans="1:2" x14ac:dyDescent="0.2">
      <c r="A6505" t="str">
        <f>"GNL2"</f>
        <v>GNL2</v>
      </c>
      <c r="B6505" t="s">
        <v>8</v>
      </c>
    </row>
    <row r="6506" spans="1:2" x14ac:dyDescent="0.2">
      <c r="A6506" t="str">
        <f>"GNL3"</f>
        <v>GNL3</v>
      </c>
      <c r="B6506" t="s">
        <v>8</v>
      </c>
    </row>
    <row r="6507" spans="1:2" x14ac:dyDescent="0.2">
      <c r="A6507" t="str">
        <f>"GNL3L"</f>
        <v>GNL3L</v>
      </c>
      <c r="B6507" t="s">
        <v>2</v>
      </c>
    </row>
    <row r="6508" spans="1:2" x14ac:dyDescent="0.2">
      <c r="A6508" t="str">
        <f>"GNLY"</f>
        <v>GNLY</v>
      </c>
      <c r="B6508" t="s">
        <v>7</v>
      </c>
    </row>
    <row r="6509" spans="1:2" x14ac:dyDescent="0.2">
      <c r="A6509" t="str">
        <f>"GNMT"</f>
        <v>GNMT</v>
      </c>
      <c r="B6509" t="s">
        <v>7</v>
      </c>
    </row>
    <row r="6510" spans="1:2" x14ac:dyDescent="0.2">
      <c r="A6510" t="str">
        <f>"GNPAT"</f>
        <v>GNPAT</v>
      </c>
      <c r="B6510" t="s">
        <v>6</v>
      </c>
    </row>
    <row r="6511" spans="1:2" x14ac:dyDescent="0.2">
      <c r="A6511" t="str">
        <f>"GNPDA1"</f>
        <v>GNPDA1</v>
      </c>
      <c r="B6511" t="s">
        <v>7</v>
      </c>
    </row>
    <row r="6512" spans="1:2" x14ac:dyDescent="0.2">
      <c r="A6512" t="str">
        <f>"GNPDA2"</f>
        <v>GNPDA2</v>
      </c>
      <c r="B6512" t="s">
        <v>3</v>
      </c>
    </row>
    <row r="6513" spans="1:2" x14ac:dyDescent="0.2">
      <c r="A6513" t="str">
        <f>"GNPNAT1"</f>
        <v>GNPNAT1</v>
      </c>
      <c r="B6513" t="s">
        <v>2</v>
      </c>
    </row>
    <row r="6514" spans="1:2" x14ac:dyDescent="0.2">
      <c r="A6514" t="str">
        <f>"GNPTAB"</f>
        <v>GNPTAB</v>
      </c>
      <c r="B6514" t="s">
        <v>2</v>
      </c>
    </row>
    <row r="6515" spans="1:2" x14ac:dyDescent="0.2">
      <c r="A6515" t="str">
        <f>"GNPTG"</f>
        <v>GNPTG</v>
      </c>
      <c r="B6515" t="s">
        <v>2</v>
      </c>
    </row>
    <row r="6516" spans="1:2" x14ac:dyDescent="0.2">
      <c r="A6516" t="str">
        <f>"GNRH1"</f>
        <v>GNRH1</v>
      </c>
      <c r="B6516" t="s">
        <v>3</v>
      </c>
    </row>
    <row r="6517" spans="1:2" x14ac:dyDescent="0.2">
      <c r="A6517" t="str">
        <f>"GNRH2"</f>
        <v>GNRH2</v>
      </c>
      <c r="B6517" t="s">
        <v>3</v>
      </c>
    </row>
    <row r="6518" spans="1:2" x14ac:dyDescent="0.2">
      <c r="A6518" t="str">
        <f>"GNRHR"</f>
        <v>GNRHR</v>
      </c>
      <c r="B6518" t="s">
        <v>7</v>
      </c>
    </row>
    <row r="6519" spans="1:2" x14ac:dyDescent="0.2">
      <c r="A6519" t="str">
        <f>"GNS"</f>
        <v>GNS</v>
      </c>
      <c r="B6519" t="s">
        <v>2</v>
      </c>
    </row>
    <row r="6520" spans="1:2" x14ac:dyDescent="0.2">
      <c r="A6520" t="str">
        <f>"GOLGA1"</f>
        <v>GOLGA1</v>
      </c>
      <c r="B6520" t="s">
        <v>2</v>
      </c>
    </row>
    <row r="6521" spans="1:2" x14ac:dyDescent="0.2">
      <c r="A6521" t="str">
        <f>"GOLGA2"</f>
        <v>GOLGA2</v>
      </c>
      <c r="B6521" t="s">
        <v>2</v>
      </c>
    </row>
    <row r="6522" spans="1:2" x14ac:dyDescent="0.2">
      <c r="A6522" t="str">
        <f>"GOLGA3"</f>
        <v>GOLGA3</v>
      </c>
      <c r="B6522" t="s">
        <v>2</v>
      </c>
    </row>
    <row r="6523" spans="1:2" x14ac:dyDescent="0.2">
      <c r="A6523" t="str">
        <f>"GOLGA4"</f>
        <v>GOLGA4</v>
      </c>
      <c r="B6523" t="s">
        <v>2</v>
      </c>
    </row>
    <row r="6524" spans="1:2" x14ac:dyDescent="0.2">
      <c r="A6524" t="str">
        <f>"GOLGA5"</f>
        <v>GOLGA5</v>
      </c>
      <c r="B6524" t="s">
        <v>3</v>
      </c>
    </row>
    <row r="6525" spans="1:2" x14ac:dyDescent="0.2">
      <c r="A6525" t="str">
        <f>"GOLGA6L1"</f>
        <v>GOLGA6L1</v>
      </c>
      <c r="B6525" t="s">
        <v>4</v>
      </c>
    </row>
    <row r="6526" spans="1:2" x14ac:dyDescent="0.2">
      <c r="A6526" t="str">
        <f>"GOLGA6L2"</f>
        <v>GOLGA6L2</v>
      </c>
      <c r="B6526" t="s">
        <v>4</v>
      </c>
    </row>
    <row r="6527" spans="1:2" x14ac:dyDescent="0.2">
      <c r="A6527" t="str">
        <f>"GOLGA7"</f>
        <v>GOLGA7</v>
      </c>
      <c r="B6527" t="s">
        <v>6</v>
      </c>
    </row>
    <row r="6528" spans="1:2" x14ac:dyDescent="0.2">
      <c r="A6528" t="str">
        <f>"GOLGA7B"</f>
        <v>GOLGA7B</v>
      </c>
      <c r="B6528" t="s">
        <v>4</v>
      </c>
    </row>
    <row r="6529" spans="1:2" x14ac:dyDescent="0.2">
      <c r="A6529" t="str">
        <f>"GOLGA8A"</f>
        <v>GOLGA8A</v>
      </c>
      <c r="B6529" t="s">
        <v>4</v>
      </c>
    </row>
    <row r="6530" spans="1:2" x14ac:dyDescent="0.2">
      <c r="A6530" t="str">
        <f>"GOLGA8B"</f>
        <v>GOLGA8B</v>
      </c>
      <c r="B6530" t="s">
        <v>4</v>
      </c>
    </row>
    <row r="6531" spans="1:2" x14ac:dyDescent="0.2">
      <c r="A6531" t="str">
        <f>"GOLGB1"</f>
        <v>GOLGB1</v>
      </c>
      <c r="B6531" t="s">
        <v>2</v>
      </c>
    </row>
    <row r="6532" spans="1:2" x14ac:dyDescent="0.2">
      <c r="A6532" t="str">
        <f>"GOLIM4"</f>
        <v>GOLIM4</v>
      </c>
      <c r="B6532" t="s">
        <v>2</v>
      </c>
    </row>
    <row r="6533" spans="1:2" x14ac:dyDescent="0.2">
      <c r="A6533" t="str">
        <f>"GOLM1"</f>
        <v>GOLM1</v>
      </c>
      <c r="B6533" t="s">
        <v>5</v>
      </c>
    </row>
    <row r="6534" spans="1:2" x14ac:dyDescent="0.2">
      <c r="A6534" t="str">
        <f>"GOLPH3"</f>
        <v>GOLPH3</v>
      </c>
      <c r="B6534" t="s">
        <v>2</v>
      </c>
    </row>
    <row r="6535" spans="1:2" x14ac:dyDescent="0.2">
      <c r="A6535" t="str">
        <f>"GOLPH3L"</f>
        <v>GOLPH3L</v>
      </c>
      <c r="B6535" t="s">
        <v>4</v>
      </c>
    </row>
    <row r="6536" spans="1:2" x14ac:dyDescent="0.2">
      <c r="A6536" t="str">
        <f>"GOLT1A"</f>
        <v>GOLT1A</v>
      </c>
      <c r="B6536" t="s">
        <v>2</v>
      </c>
    </row>
    <row r="6537" spans="1:2" x14ac:dyDescent="0.2">
      <c r="A6537" t="str">
        <f>"GOLT1B"</f>
        <v>GOLT1B</v>
      </c>
      <c r="B6537" t="s">
        <v>6</v>
      </c>
    </row>
    <row r="6538" spans="1:2" x14ac:dyDescent="0.2">
      <c r="A6538" t="str">
        <f>"GON4L"</f>
        <v>GON4L</v>
      </c>
      <c r="B6538" t="s">
        <v>8</v>
      </c>
    </row>
    <row r="6539" spans="1:2" x14ac:dyDescent="0.2">
      <c r="A6539" t="str">
        <f>"GOPC"</f>
        <v>GOPC</v>
      </c>
      <c r="B6539" t="s">
        <v>3</v>
      </c>
    </row>
    <row r="6540" spans="1:2" x14ac:dyDescent="0.2">
      <c r="A6540" t="str">
        <f>"GORAB"</f>
        <v>GORAB</v>
      </c>
      <c r="B6540" t="s">
        <v>4</v>
      </c>
    </row>
    <row r="6541" spans="1:2" x14ac:dyDescent="0.2">
      <c r="A6541" t="str">
        <f>"GORASP1"</f>
        <v>GORASP1</v>
      </c>
      <c r="B6541" t="s">
        <v>6</v>
      </c>
    </row>
    <row r="6542" spans="1:2" x14ac:dyDescent="0.2">
      <c r="A6542" t="str">
        <f>"GORASP2"</f>
        <v>GORASP2</v>
      </c>
      <c r="B6542" t="s">
        <v>2</v>
      </c>
    </row>
    <row r="6543" spans="1:2" x14ac:dyDescent="0.2">
      <c r="A6543" t="str">
        <f>"GOSR1"</f>
        <v>GOSR1</v>
      </c>
      <c r="B6543" t="s">
        <v>6</v>
      </c>
    </row>
    <row r="6544" spans="1:2" x14ac:dyDescent="0.2">
      <c r="A6544" t="str">
        <f>"GOSR2"</f>
        <v>GOSR2</v>
      </c>
      <c r="B6544" t="s">
        <v>6</v>
      </c>
    </row>
    <row r="6545" spans="1:2" x14ac:dyDescent="0.2">
      <c r="A6545" t="str">
        <f>"GOT1"</f>
        <v>GOT1</v>
      </c>
      <c r="B6545" t="s">
        <v>7</v>
      </c>
    </row>
    <row r="6546" spans="1:2" x14ac:dyDescent="0.2">
      <c r="A6546" t="str">
        <f>"GOT1L1"</f>
        <v>GOT1L1</v>
      </c>
      <c r="B6546" t="s">
        <v>4</v>
      </c>
    </row>
    <row r="6547" spans="1:2" x14ac:dyDescent="0.2">
      <c r="A6547" t="str">
        <f>"GOT2"</f>
        <v>GOT2</v>
      </c>
      <c r="B6547" t="s">
        <v>7</v>
      </c>
    </row>
    <row r="6548" spans="1:2" x14ac:dyDescent="0.2">
      <c r="A6548" t="str">
        <f>"GP1BA"</f>
        <v>GP1BA</v>
      </c>
      <c r="B6548" t="s">
        <v>7</v>
      </c>
    </row>
    <row r="6549" spans="1:2" x14ac:dyDescent="0.2">
      <c r="A6549" t="str">
        <f>"GP1BB"</f>
        <v>GP1BB</v>
      </c>
      <c r="B6549" t="s">
        <v>5</v>
      </c>
    </row>
    <row r="6550" spans="1:2" x14ac:dyDescent="0.2">
      <c r="A6550" t="str">
        <f>"GP2"</f>
        <v>GP2</v>
      </c>
      <c r="B6550" t="s">
        <v>4</v>
      </c>
    </row>
    <row r="6551" spans="1:2" x14ac:dyDescent="0.2">
      <c r="A6551" t="str">
        <f>"GP5"</f>
        <v>GP5</v>
      </c>
      <c r="B6551" t="s">
        <v>5</v>
      </c>
    </row>
    <row r="6552" spans="1:2" x14ac:dyDescent="0.2">
      <c r="A6552" t="str">
        <f>"GP6"</f>
        <v>GP6</v>
      </c>
      <c r="B6552" t="s">
        <v>4</v>
      </c>
    </row>
    <row r="6553" spans="1:2" x14ac:dyDescent="0.2">
      <c r="A6553" t="str">
        <f>"GP9"</f>
        <v>GP9</v>
      </c>
      <c r="B6553" t="s">
        <v>7</v>
      </c>
    </row>
    <row r="6554" spans="1:2" x14ac:dyDescent="0.2">
      <c r="A6554" t="str">
        <f>"GPA33"</f>
        <v>GPA33</v>
      </c>
      <c r="B6554" t="s">
        <v>5</v>
      </c>
    </row>
    <row r="6555" spans="1:2" x14ac:dyDescent="0.2">
      <c r="A6555" t="str">
        <f>"GPAA1"</f>
        <v>GPAA1</v>
      </c>
      <c r="B6555" t="s">
        <v>6</v>
      </c>
    </row>
    <row r="6556" spans="1:2" x14ac:dyDescent="0.2">
      <c r="A6556" t="str">
        <f>"GPALPP1"</f>
        <v>GPALPP1</v>
      </c>
      <c r="B6556" t="s">
        <v>4</v>
      </c>
    </row>
    <row r="6557" spans="1:2" x14ac:dyDescent="0.2">
      <c r="A6557" t="str">
        <f>"GPAM"</f>
        <v>GPAM</v>
      </c>
      <c r="B6557" t="s">
        <v>6</v>
      </c>
    </row>
    <row r="6558" spans="1:2" x14ac:dyDescent="0.2">
      <c r="A6558" t="str">
        <f>"GPANK1"</f>
        <v>GPANK1</v>
      </c>
      <c r="B6558" t="s">
        <v>4</v>
      </c>
    </row>
    <row r="6559" spans="1:2" x14ac:dyDescent="0.2">
      <c r="A6559" t="str">
        <f>"GPAT2"</f>
        <v>GPAT2</v>
      </c>
      <c r="B6559" t="s">
        <v>6</v>
      </c>
    </row>
    <row r="6560" spans="1:2" x14ac:dyDescent="0.2">
      <c r="A6560" t="str">
        <f>"GPATCH1"</f>
        <v>GPATCH1</v>
      </c>
      <c r="B6560" t="s">
        <v>8</v>
      </c>
    </row>
    <row r="6561" spans="1:2" x14ac:dyDescent="0.2">
      <c r="A6561" t="str">
        <f>"GPATCH11"</f>
        <v>GPATCH11</v>
      </c>
      <c r="B6561" t="s">
        <v>4</v>
      </c>
    </row>
    <row r="6562" spans="1:2" x14ac:dyDescent="0.2">
      <c r="A6562" t="str">
        <f>"GPATCH2"</f>
        <v>GPATCH2</v>
      </c>
      <c r="B6562" t="s">
        <v>4</v>
      </c>
    </row>
    <row r="6563" spans="1:2" x14ac:dyDescent="0.2">
      <c r="A6563" t="str">
        <f>"GPATCH2L"</f>
        <v>GPATCH2L</v>
      </c>
      <c r="B6563" t="s">
        <v>5</v>
      </c>
    </row>
    <row r="6564" spans="1:2" x14ac:dyDescent="0.2">
      <c r="A6564" t="str">
        <f>"GPATCH3"</f>
        <v>GPATCH3</v>
      </c>
      <c r="B6564" t="s">
        <v>8</v>
      </c>
    </row>
    <row r="6565" spans="1:2" x14ac:dyDescent="0.2">
      <c r="A6565" t="str">
        <f>"GPATCH4"</f>
        <v>GPATCH4</v>
      </c>
      <c r="B6565" t="s">
        <v>4</v>
      </c>
    </row>
    <row r="6566" spans="1:2" x14ac:dyDescent="0.2">
      <c r="A6566" t="str">
        <f>"GPATCH8"</f>
        <v>GPATCH8</v>
      </c>
      <c r="B6566" t="s">
        <v>8</v>
      </c>
    </row>
    <row r="6567" spans="1:2" x14ac:dyDescent="0.2">
      <c r="A6567" t="str">
        <f>"GPBAR1"</f>
        <v>GPBAR1</v>
      </c>
      <c r="B6567" t="s">
        <v>5</v>
      </c>
    </row>
    <row r="6568" spans="1:2" x14ac:dyDescent="0.2">
      <c r="A6568" t="str">
        <f>"GPBP1"</f>
        <v>GPBP1</v>
      </c>
      <c r="B6568" t="s">
        <v>8</v>
      </c>
    </row>
    <row r="6569" spans="1:2" x14ac:dyDescent="0.2">
      <c r="A6569" t="str">
        <f>"GPBP1L1"</f>
        <v>GPBP1L1</v>
      </c>
      <c r="B6569" t="s">
        <v>4</v>
      </c>
    </row>
    <row r="6570" spans="1:2" x14ac:dyDescent="0.2">
      <c r="A6570" t="str">
        <f>"GPC1"</f>
        <v>GPC1</v>
      </c>
      <c r="B6570" t="s">
        <v>6</v>
      </c>
    </row>
    <row r="6571" spans="1:2" x14ac:dyDescent="0.2">
      <c r="A6571" t="str">
        <f>"GPC2"</f>
        <v>GPC2</v>
      </c>
      <c r="B6571" t="s">
        <v>2</v>
      </c>
    </row>
    <row r="6572" spans="1:2" x14ac:dyDescent="0.2">
      <c r="A6572" t="str">
        <f>"GPC3"</f>
        <v>GPC3</v>
      </c>
      <c r="B6572" t="s">
        <v>3</v>
      </c>
    </row>
    <row r="6573" spans="1:2" x14ac:dyDescent="0.2">
      <c r="A6573" t="str">
        <f>"GPC4"</f>
        <v>GPC4</v>
      </c>
      <c r="B6573" t="s">
        <v>5</v>
      </c>
    </row>
    <row r="6574" spans="1:2" x14ac:dyDescent="0.2">
      <c r="A6574" t="str">
        <f>"GPC5"</f>
        <v>GPC5</v>
      </c>
      <c r="B6574" t="s">
        <v>4</v>
      </c>
    </row>
    <row r="6575" spans="1:2" x14ac:dyDescent="0.2">
      <c r="A6575" t="str">
        <f>"GPC6"</f>
        <v>GPC6</v>
      </c>
      <c r="B6575" t="s">
        <v>6</v>
      </c>
    </row>
    <row r="6576" spans="1:2" x14ac:dyDescent="0.2">
      <c r="A6576" t="str">
        <f>"GPCPD1"</f>
        <v>GPCPD1</v>
      </c>
      <c r="B6576" t="s">
        <v>4</v>
      </c>
    </row>
    <row r="6577" spans="1:2" x14ac:dyDescent="0.2">
      <c r="A6577" t="str">
        <f>"GPD1"</f>
        <v>GPD1</v>
      </c>
      <c r="B6577" t="s">
        <v>7</v>
      </c>
    </row>
    <row r="6578" spans="1:2" x14ac:dyDescent="0.2">
      <c r="A6578" t="str">
        <f>"GPD1L"</f>
        <v>GPD1L</v>
      </c>
      <c r="B6578" t="s">
        <v>2</v>
      </c>
    </row>
    <row r="6579" spans="1:2" x14ac:dyDescent="0.2">
      <c r="A6579" t="str">
        <f>"GPD2"</f>
        <v>GPD2</v>
      </c>
      <c r="B6579" t="s">
        <v>6</v>
      </c>
    </row>
    <row r="6580" spans="1:2" x14ac:dyDescent="0.2">
      <c r="A6580" t="str">
        <f>"GPER1"</f>
        <v>GPER1</v>
      </c>
      <c r="B6580" t="s">
        <v>2</v>
      </c>
    </row>
    <row r="6581" spans="1:2" x14ac:dyDescent="0.2">
      <c r="A6581" t="str">
        <f>"GPHA2"</f>
        <v>GPHA2</v>
      </c>
      <c r="B6581" t="s">
        <v>4</v>
      </c>
    </row>
    <row r="6582" spans="1:2" x14ac:dyDescent="0.2">
      <c r="A6582" t="str">
        <f>"GPHB5"</f>
        <v>GPHB5</v>
      </c>
      <c r="B6582" t="s">
        <v>4</v>
      </c>
    </row>
    <row r="6583" spans="1:2" x14ac:dyDescent="0.2">
      <c r="A6583" t="str">
        <f>"GPHN"</f>
        <v>GPHN</v>
      </c>
      <c r="B6583" t="s">
        <v>3</v>
      </c>
    </row>
    <row r="6584" spans="1:2" x14ac:dyDescent="0.2">
      <c r="A6584" t="str">
        <f>"GPI"</f>
        <v>GPI</v>
      </c>
      <c r="B6584" t="s">
        <v>3</v>
      </c>
    </row>
    <row r="6585" spans="1:2" x14ac:dyDescent="0.2">
      <c r="A6585" t="str">
        <f>"GPIHBP1"</f>
        <v>GPIHBP1</v>
      </c>
      <c r="B6585" t="s">
        <v>2</v>
      </c>
    </row>
    <row r="6586" spans="1:2" x14ac:dyDescent="0.2">
      <c r="A6586" t="str">
        <f>"GPKOW"</f>
        <v>GPKOW</v>
      </c>
      <c r="B6586" t="s">
        <v>4</v>
      </c>
    </row>
    <row r="6587" spans="1:2" x14ac:dyDescent="0.2">
      <c r="A6587" t="str">
        <f>"GPLD1"</f>
        <v>GPLD1</v>
      </c>
      <c r="B6587" t="s">
        <v>3</v>
      </c>
    </row>
    <row r="6588" spans="1:2" x14ac:dyDescent="0.2">
      <c r="A6588" t="str">
        <f>"GPM6A"</f>
        <v>GPM6A</v>
      </c>
      <c r="B6588" t="s">
        <v>5</v>
      </c>
    </row>
    <row r="6589" spans="1:2" x14ac:dyDescent="0.2">
      <c r="A6589" t="str">
        <f>"GPM6B"</f>
        <v>GPM6B</v>
      </c>
      <c r="B6589" t="s">
        <v>5</v>
      </c>
    </row>
    <row r="6590" spans="1:2" x14ac:dyDescent="0.2">
      <c r="A6590" t="str">
        <f>"GPN1"</f>
        <v>GPN1</v>
      </c>
      <c r="B6590" t="s">
        <v>8</v>
      </c>
    </row>
    <row r="6591" spans="1:2" x14ac:dyDescent="0.2">
      <c r="A6591" t="str">
        <f>"GPN2"</f>
        <v>GPN2</v>
      </c>
      <c r="B6591" t="s">
        <v>4</v>
      </c>
    </row>
    <row r="6592" spans="1:2" x14ac:dyDescent="0.2">
      <c r="A6592" t="str">
        <f>"GPN3"</f>
        <v>GPN3</v>
      </c>
      <c r="B6592" t="s">
        <v>4</v>
      </c>
    </row>
    <row r="6593" spans="1:2" x14ac:dyDescent="0.2">
      <c r="A6593" t="str">
        <f>"GPNMB"</f>
        <v>GPNMB</v>
      </c>
      <c r="B6593" t="s">
        <v>2</v>
      </c>
    </row>
    <row r="6594" spans="1:2" x14ac:dyDescent="0.2">
      <c r="A6594" t="str">
        <f>"GPR1"</f>
        <v>GPR1</v>
      </c>
      <c r="B6594" t="s">
        <v>5</v>
      </c>
    </row>
    <row r="6595" spans="1:2" x14ac:dyDescent="0.2">
      <c r="A6595" t="str">
        <f>"GPR101"</f>
        <v>GPR101</v>
      </c>
      <c r="B6595" t="s">
        <v>5</v>
      </c>
    </row>
    <row r="6596" spans="1:2" x14ac:dyDescent="0.2">
      <c r="A6596" t="str">
        <f>"GPR107"</f>
        <v>GPR107</v>
      </c>
      <c r="B6596" t="s">
        <v>6</v>
      </c>
    </row>
    <row r="6597" spans="1:2" x14ac:dyDescent="0.2">
      <c r="A6597" t="str">
        <f>"GPR108"</f>
        <v>GPR108</v>
      </c>
      <c r="B6597" t="s">
        <v>2</v>
      </c>
    </row>
    <row r="6598" spans="1:2" x14ac:dyDescent="0.2">
      <c r="A6598" t="str">
        <f>"GPR110"</f>
        <v>GPR110</v>
      </c>
      <c r="B6598" t="s">
        <v>5</v>
      </c>
    </row>
    <row r="6599" spans="1:2" x14ac:dyDescent="0.2">
      <c r="A6599" t="str">
        <f>"GPR111"</f>
        <v>GPR111</v>
      </c>
      <c r="B6599" t="s">
        <v>5</v>
      </c>
    </row>
    <row r="6600" spans="1:2" x14ac:dyDescent="0.2">
      <c r="A6600" t="str">
        <f>"GPR112"</f>
        <v>GPR112</v>
      </c>
      <c r="B6600" t="s">
        <v>3</v>
      </c>
    </row>
    <row r="6601" spans="1:2" x14ac:dyDescent="0.2">
      <c r="A6601" t="str">
        <f>"GPR113"</f>
        <v>GPR113</v>
      </c>
      <c r="B6601" t="s">
        <v>5</v>
      </c>
    </row>
    <row r="6602" spans="1:2" x14ac:dyDescent="0.2">
      <c r="A6602" t="str">
        <f>"GPR114"</f>
        <v>GPR114</v>
      </c>
      <c r="B6602" t="s">
        <v>5</v>
      </c>
    </row>
    <row r="6603" spans="1:2" x14ac:dyDescent="0.2">
      <c r="A6603" t="str">
        <f>"GPR115"</f>
        <v>GPR115</v>
      </c>
      <c r="B6603" t="s">
        <v>5</v>
      </c>
    </row>
    <row r="6604" spans="1:2" x14ac:dyDescent="0.2">
      <c r="A6604" t="str">
        <f>"GPR116"</f>
        <v>GPR116</v>
      </c>
      <c r="B6604" t="s">
        <v>5</v>
      </c>
    </row>
    <row r="6605" spans="1:2" x14ac:dyDescent="0.2">
      <c r="A6605" t="str">
        <f>"GPR119"</f>
        <v>GPR119</v>
      </c>
      <c r="B6605" t="s">
        <v>2</v>
      </c>
    </row>
    <row r="6606" spans="1:2" x14ac:dyDescent="0.2">
      <c r="A6606" t="str">
        <f>"GPR12"</f>
        <v>GPR12</v>
      </c>
      <c r="B6606" t="s">
        <v>5</v>
      </c>
    </row>
    <row r="6607" spans="1:2" x14ac:dyDescent="0.2">
      <c r="A6607" t="str">
        <f>"GPR123"</f>
        <v>GPR123</v>
      </c>
      <c r="B6607" t="s">
        <v>8</v>
      </c>
    </row>
    <row r="6608" spans="1:2" x14ac:dyDescent="0.2">
      <c r="A6608" t="str">
        <f>"GPR124"</f>
        <v>GPR124</v>
      </c>
      <c r="B6608" t="s">
        <v>5</v>
      </c>
    </row>
    <row r="6609" spans="1:2" x14ac:dyDescent="0.2">
      <c r="A6609" t="str">
        <f>"GPR125"</f>
        <v>GPR125</v>
      </c>
      <c r="B6609" t="s">
        <v>5</v>
      </c>
    </row>
    <row r="6610" spans="1:2" x14ac:dyDescent="0.2">
      <c r="A6610" t="str">
        <f>"GPR126"</f>
        <v>GPR126</v>
      </c>
      <c r="B6610" t="s">
        <v>5</v>
      </c>
    </row>
    <row r="6611" spans="1:2" x14ac:dyDescent="0.2">
      <c r="A6611" t="str">
        <f>"GPR128"</f>
        <v>GPR128</v>
      </c>
      <c r="B6611" t="s">
        <v>5</v>
      </c>
    </row>
    <row r="6612" spans="1:2" x14ac:dyDescent="0.2">
      <c r="A6612" t="str">
        <f>"GPR132"</f>
        <v>GPR132</v>
      </c>
      <c r="B6612" t="s">
        <v>3</v>
      </c>
    </row>
    <row r="6613" spans="1:2" x14ac:dyDescent="0.2">
      <c r="A6613" t="str">
        <f>"GPR133"</f>
        <v>GPR133</v>
      </c>
      <c r="B6613" t="s">
        <v>5</v>
      </c>
    </row>
    <row r="6614" spans="1:2" x14ac:dyDescent="0.2">
      <c r="A6614" t="str">
        <f>"GPR135"</f>
        <v>GPR135</v>
      </c>
      <c r="B6614" t="s">
        <v>5</v>
      </c>
    </row>
    <row r="6615" spans="1:2" x14ac:dyDescent="0.2">
      <c r="A6615" t="str">
        <f>"GPR137"</f>
        <v>GPR137</v>
      </c>
      <c r="B6615" t="s">
        <v>5</v>
      </c>
    </row>
    <row r="6616" spans="1:2" x14ac:dyDescent="0.2">
      <c r="A6616" t="str">
        <f>"GPR137B"</f>
        <v>GPR137B</v>
      </c>
      <c r="B6616" t="s">
        <v>5</v>
      </c>
    </row>
    <row r="6617" spans="1:2" x14ac:dyDescent="0.2">
      <c r="A6617" t="str">
        <f>"GPR137C"</f>
        <v>GPR137C</v>
      </c>
      <c r="B6617" t="s">
        <v>5</v>
      </c>
    </row>
    <row r="6618" spans="1:2" x14ac:dyDescent="0.2">
      <c r="A6618" t="str">
        <f>"GPR139"</f>
        <v>GPR139</v>
      </c>
      <c r="B6618" t="s">
        <v>5</v>
      </c>
    </row>
    <row r="6619" spans="1:2" x14ac:dyDescent="0.2">
      <c r="A6619" t="str">
        <f>"GPR141"</f>
        <v>GPR141</v>
      </c>
      <c r="B6619" t="s">
        <v>6</v>
      </c>
    </row>
    <row r="6620" spans="1:2" x14ac:dyDescent="0.2">
      <c r="A6620" t="str">
        <f>"GPR142"</f>
        <v>GPR142</v>
      </c>
      <c r="B6620" t="s">
        <v>5</v>
      </c>
    </row>
    <row r="6621" spans="1:2" x14ac:dyDescent="0.2">
      <c r="A6621" t="str">
        <f>"GPR143"</f>
        <v>GPR143</v>
      </c>
      <c r="B6621" t="s">
        <v>5</v>
      </c>
    </row>
    <row r="6622" spans="1:2" x14ac:dyDescent="0.2">
      <c r="A6622" t="str">
        <f>"GPR144"</f>
        <v>GPR144</v>
      </c>
      <c r="B6622" t="s">
        <v>5</v>
      </c>
    </row>
    <row r="6623" spans="1:2" x14ac:dyDescent="0.2">
      <c r="A6623" t="str">
        <f>"GPR146"</f>
        <v>GPR146</v>
      </c>
      <c r="B6623" t="s">
        <v>5</v>
      </c>
    </row>
    <row r="6624" spans="1:2" x14ac:dyDescent="0.2">
      <c r="A6624" t="str">
        <f>"GPR148"</f>
        <v>GPR148</v>
      </c>
      <c r="B6624" t="s">
        <v>5</v>
      </c>
    </row>
    <row r="6625" spans="1:2" x14ac:dyDescent="0.2">
      <c r="A6625" t="str">
        <f>"GPR149"</f>
        <v>GPR149</v>
      </c>
      <c r="B6625" t="s">
        <v>5</v>
      </c>
    </row>
    <row r="6626" spans="1:2" x14ac:dyDescent="0.2">
      <c r="A6626" t="str">
        <f>"GPR15"</f>
        <v>GPR15</v>
      </c>
      <c r="B6626" t="s">
        <v>5</v>
      </c>
    </row>
    <row r="6627" spans="1:2" x14ac:dyDescent="0.2">
      <c r="A6627" t="str">
        <f>"GPR150"</f>
        <v>GPR150</v>
      </c>
      <c r="B6627" t="s">
        <v>5</v>
      </c>
    </row>
    <row r="6628" spans="1:2" x14ac:dyDescent="0.2">
      <c r="A6628" t="str">
        <f>"GPR151"</f>
        <v>GPR151</v>
      </c>
      <c r="B6628" t="s">
        <v>5</v>
      </c>
    </row>
    <row r="6629" spans="1:2" x14ac:dyDescent="0.2">
      <c r="A6629" t="str">
        <f>"GPR152"</f>
        <v>GPR152</v>
      </c>
      <c r="B6629" t="s">
        <v>5</v>
      </c>
    </row>
    <row r="6630" spans="1:2" x14ac:dyDescent="0.2">
      <c r="A6630" t="str">
        <f>"GPR153"</f>
        <v>GPR153</v>
      </c>
      <c r="B6630" t="s">
        <v>5</v>
      </c>
    </row>
    <row r="6631" spans="1:2" x14ac:dyDescent="0.2">
      <c r="A6631" t="str">
        <f>"GPR155"</f>
        <v>GPR155</v>
      </c>
      <c r="B6631" t="s">
        <v>8</v>
      </c>
    </row>
    <row r="6632" spans="1:2" x14ac:dyDescent="0.2">
      <c r="A6632" t="str">
        <f>"GPR156"</f>
        <v>GPR156</v>
      </c>
      <c r="B6632" t="s">
        <v>5</v>
      </c>
    </row>
    <row r="6633" spans="1:2" x14ac:dyDescent="0.2">
      <c r="A6633" t="str">
        <f>"GPR157"</f>
        <v>GPR157</v>
      </c>
      <c r="B6633" t="s">
        <v>5</v>
      </c>
    </row>
    <row r="6634" spans="1:2" x14ac:dyDescent="0.2">
      <c r="A6634" t="str">
        <f>"GPR158"</f>
        <v>GPR158</v>
      </c>
      <c r="B6634" t="s">
        <v>3</v>
      </c>
    </row>
    <row r="6635" spans="1:2" x14ac:dyDescent="0.2">
      <c r="A6635" t="str">
        <f>"GPR160"</f>
        <v>GPR160</v>
      </c>
      <c r="B6635" t="s">
        <v>5</v>
      </c>
    </row>
    <row r="6636" spans="1:2" x14ac:dyDescent="0.2">
      <c r="A6636" t="str">
        <f>"GPR161"</f>
        <v>GPR161</v>
      </c>
      <c r="B6636" t="s">
        <v>5</v>
      </c>
    </row>
    <row r="6637" spans="1:2" x14ac:dyDescent="0.2">
      <c r="A6637" t="str">
        <f>"GPR162"</f>
        <v>GPR162</v>
      </c>
      <c r="B6637" t="s">
        <v>5</v>
      </c>
    </row>
    <row r="6638" spans="1:2" x14ac:dyDescent="0.2">
      <c r="A6638" t="str">
        <f>"GPR17"</f>
        <v>GPR17</v>
      </c>
      <c r="B6638" t="s">
        <v>5</v>
      </c>
    </row>
    <row r="6639" spans="1:2" x14ac:dyDescent="0.2">
      <c r="A6639" t="str">
        <f>"GPR171"</f>
        <v>GPR171</v>
      </c>
      <c r="B6639" t="s">
        <v>5</v>
      </c>
    </row>
    <row r="6640" spans="1:2" x14ac:dyDescent="0.2">
      <c r="A6640" t="str">
        <f>"GPR173"</f>
        <v>GPR173</v>
      </c>
      <c r="B6640" t="s">
        <v>5</v>
      </c>
    </row>
    <row r="6641" spans="1:2" x14ac:dyDescent="0.2">
      <c r="A6641" t="str">
        <f>"GPR174"</f>
        <v>GPR174</v>
      </c>
      <c r="B6641" t="s">
        <v>5</v>
      </c>
    </row>
    <row r="6642" spans="1:2" x14ac:dyDescent="0.2">
      <c r="A6642" t="str">
        <f>"GPR176"</f>
        <v>GPR176</v>
      </c>
      <c r="B6642" t="s">
        <v>5</v>
      </c>
    </row>
    <row r="6643" spans="1:2" x14ac:dyDescent="0.2">
      <c r="A6643" t="str">
        <f>"GPR179"</f>
        <v>GPR179</v>
      </c>
      <c r="B6643" t="s">
        <v>5</v>
      </c>
    </row>
    <row r="6644" spans="1:2" x14ac:dyDescent="0.2">
      <c r="A6644" t="str">
        <f>"GPR18"</f>
        <v>GPR18</v>
      </c>
      <c r="B6644" t="s">
        <v>7</v>
      </c>
    </row>
    <row r="6645" spans="1:2" x14ac:dyDescent="0.2">
      <c r="A6645" t="str">
        <f>"GPR180"</f>
        <v>GPR180</v>
      </c>
      <c r="B6645" t="s">
        <v>5</v>
      </c>
    </row>
    <row r="6646" spans="1:2" x14ac:dyDescent="0.2">
      <c r="A6646" t="str">
        <f>"GPR182"</f>
        <v>GPR182</v>
      </c>
      <c r="B6646" t="s">
        <v>5</v>
      </c>
    </row>
    <row r="6647" spans="1:2" x14ac:dyDescent="0.2">
      <c r="A6647" t="str">
        <f>"GPR183"</f>
        <v>GPR183</v>
      </c>
      <c r="B6647" t="s">
        <v>5</v>
      </c>
    </row>
    <row r="6648" spans="1:2" x14ac:dyDescent="0.2">
      <c r="A6648" t="str">
        <f>"GPR19"</f>
        <v>GPR19</v>
      </c>
      <c r="B6648" t="s">
        <v>5</v>
      </c>
    </row>
    <row r="6649" spans="1:2" x14ac:dyDescent="0.2">
      <c r="A6649" t="str">
        <f>"GPR20"</f>
        <v>GPR20</v>
      </c>
      <c r="B6649" t="s">
        <v>5</v>
      </c>
    </row>
    <row r="6650" spans="1:2" x14ac:dyDescent="0.2">
      <c r="A6650" t="str">
        <f>"GPR21"</f>
        <v>GPR21</v>
      </c>
      <c r="B6650" t="s">
        <v>5</v>
      </c>
    </row>
    <row r="6651" spans="1:2" x14ac:dyDescent="0.2">
      <c r="A6651" t="str">
        <f>"GPR22"</f>
        <v>GPR22</v>
      </c>
      <c r="B6651" t="s">
        <v>5</v>
      </c>
    </row>
    <row r="6652" spans="1:2" x14ac:dyDescent="0.2">
      <c r="A6652" t="str">
        <f>"GPR25"</f>
        <v>GPR25</v>
      </c>
      <c r="B6652" t="s">
        <v>5</v>
      </c>
    </row>
    <row r="6653" spans="1:2" x14ac:dyDescent="0.2">
      <c r="A6653" t="str">
        <f>"GPR26"</f>
        <v>GPR26</v>
      </c>
      <c r="B6653" t="s">
        <v>2</v>
      </c>
    </row>
    <row r="6654" spans="1:2" x14ac:dyDescent="0.2">
      <c r="A6654" t="str">
        <f>"GPR27"</f>
        <v>GPR27</v>
      </c>
      <c r="B6654" t="s">
        <v>5</v>
      </c>
    </row>
    <row r="6655" spans="1:2" x14ac:dyDescent="0.2">
      <c r="A6655" t="str">
        <f>"GPR3"</f>
        <v>GPR3</v>
      </c>
      <c r="B6655" t="s">
        <v>5</v>
      </c>
    </row>
    <row r="6656" spans="1:2" x14ac:dyDescent="0.2">
      <c r="A6656" t="str">
        <f>"GPR31"</f>
        <v>GPR31</v>
      </c>
      <c r="B6656" t="s">
        <v>6</v>
      </c>
    </row>
    <row r="6657" spans="1:2" x14ac:dyDescent="0.2">
      <c r="A6657" t="str">
        <f>"GPR32"</f>
        <v>GPR32</v>
      </c>
      <c r="B6657" t="s">
        <v>5</v>
      </c>
    </row>
    <row r="6658" spans="1:2" x14ac:dyDescent="0.2">
      <c r="A6658" t="str">
        <f>"GPR33"</f>
        <v>GPR33</v>
      </c>
      <c r="B6658" t="s">
        <v>5</v>
      </c>
    </row>
    <row r="6659" spans="1:2" x14ac:dyDescent="0.2">
      <c r="A6659" t="str">
        <f>"GPR34"</f>
        <v>GPR34</v>
      </c>
      <c r="B6659" t="s">
        <v>5</v>
      </c>
    </row>
    <row r="6660" spans="1:2" x14ac:dyDescent="0.2">
      <c r="A6660" t="str">
        <f>"GPR35"</f>
        <v>GPR35</v>
      </c>
      <c r="B6660" t="s">
        <v>5</v>
      </c>
    </row>
    <row r="6661" spans="1:2" x14ac:dyDescent="0.2">
      <c r="A6661" t="str">
        <f>"GPR37"</f>
        <v>GPR37</v>
      </c>
      <c r="B6661" t="s">
        <v>2</v>
      </c>
    </row>
    <row r="6662" spans="1:2" x14ac:dyDescent="0.2">
      <c r="A6662" t="str">
        <f>"GPR37L1"</f>
        <v>GPR37L1</v>
      </c>
      <c r="B6662" t="s">
        <v>5</v>
      </c>
    </row>
    <row r="6663" spans="1:2" x14ac:dyDescent="0.2">
      <c r="A6663" t="str">
        <f>"GPR39"</f>
        <v>GPR39</v>
      </c>
      <c r="B6663" t="s">
        <v>5</v>
      </c>
    </row>
    <row r="6664" spans="1:2" x14ac:dyDescent="0.2">
      <c r="A6664" t="str">
        <f>"GPR4"</f>
        <v>GPR4</v>
      </c>
      <c r="B6664" t="s">
        <v>5</v>
      </c>
    </row>
    <row r="6665" spans="1:2" x14ac:dyDescent="0.2">
      <c r="A6665" t="str">
        <f>"GPR45"</f>
        <v>GPR45</v>
      </c>
      <c r="B6665" t="s">
        <v>5</v>
      </c>
    </row>
    <row r="6666" spans="1:2" x14ac:dyDescent="0.2">
      <c r="A6666" t="str">
        <f>"GPR50"</f>
        <v>GPR50</v>
      </c>
      <c r="B6666" t="s">
        <v>2</v>
      </c>
    </row>
    <row r="6667" spans="1:2" x14ac:dyDescent="0.2">
      <c r="A6667" t="str">
        <f>"GPR52"</f>
        <v>GPR52</v>
      </c>
      <c r="B6667" t="s">
        <v>5</v>
      </c>
    </row>
    <row r="6668" spans="1:2" x14ac:dyDescent="0.2">
      <c r="A6668" t="str">
        <f>"GPR55"</f>
        <v>GPR55</v>
      </c>
      <c r="B6668" t="s">
        <v>5</v>
      </c>
    </row>
    <row r="6669" spans="1:2" x14ac:dyDescent="0.2">
      <c r="A6669" t="str">
        <f>"GPR56"</f>
        <v>GPR56</v>
      </c>
      <c r="B6669" t="s">
        <v>5</v>
      </c>
    </row>
    <row r="6670" spans="1:2" x14ac:dyDescent="0.2">
      <c r="A6670" t="str">
        <f>"GPR6"</f>
        <v>GPR6</v>
      </c>
      <c r="B6670" t="s">
        <v>5</v>
      </c>
    </row>
    <row r="6671" spans="1:2" x14ac:dyDescent="0.2">
      <c r="A6671" t="str">
        <f>"GPR61"</f>
        <v>GPR61</v>
      </c>
      <c r="B6671" t="s">
        <v>5</v>
      </c>
    </row>
    <row r="6672" spans="1:2" x14ac:dyDescent="0.2">
      <c r="A6672" t="str">
        <f>"GPR62"</f>
        <v>GPR62</v>
      </c>
      <c r="B6672" t="s">
        <v>5</v>
      </c>
    </row>
    <row r="6673" spans="1:2" x14ac:dyDescent="0.2">
      <c r="A6673" t="str">
        <f>"GPR63"</f>
        <v>GPR63</v>
      </c>
      <c r="B6673" t="s">
        <v>5</v>
      </c>
    </row>
    <row r="6674" spans="1:2" x14ac:dyDescent="0.2">
      <c r="A6674" t="str">
        <f>"GPR64"</f>
        <v>GPR64</v>
      </c>
      <c r="B6674" t="s">
        <v>5</v>
      </c>
    </row>
    <row r="6675" spans="1:2" x14ac:dyDescent="0.2">
      <c r="A6675" t="str">
        <f>"GPR65"</f>
        <v>GPR65</v>
      </c>
      <c r="B6675" t="s">
        <v>5</v>
      </c>
    </row>
    <row r="6676" spans="1:2" x14ac:dyDescent="0.2">
      <c r="A6676" t="str">
        <f>"GPR68"</f>
        <v>GPR68</v>
      </c>
      <c r="B6676" t="s">
        <v>6</v>
      </c>
    </row>
    <row r="6677" spans="1:2" x14ac:dyDescent="0.2">
      <c r="A6677" t="str">
        <f>"GPR75"</f>
        <v>GPR75</v>
      </c>
      <c r="B6677" t="s">
        <v>5</v>
      </c>
    </row>
    <row r="6678" spans="1:2" x14ac:dyDescent="0.2">
      <c r="A6678" t="str">
        <f>"GPR75-ASB3"</f>
        <v>GPR75-ASB3</v>
      </c>
      <c r="B6678" t="s">
        <v>4</v>
      </c>
    </row>
    <row r="6679" spans="1:2" x14ac:dyDescent="0.2">
      <c r="A6679" t="str">
        <f>"GPR78"</f>
        <v>GPR78</v>
      </c>
      <c r="B6679" t="s">
        <v>5</v>
      </c>
    </row>
    <row r="6680" spans="1:2" x14ac:dyDescent="0.2">
      <c r="A6680" t="str">
        <f>"GPR82"</f>
        <v>GPR82</v>
      </c>
      <c r="B6680" t="s">
        <v>5</v>
      </c>
    </row>
    <row r="6681" spans="1:2" x14ac:dyDescent="0.2">
      <c r="A6681" t="str">
        <f>"GPR83"</f>
        <v>GPR83</v>
      </c>
      <c r="B6681" t="s">
        <v>5</v>
      </c>
    </row>
    <row r="6682" spans="1:2" x14ac:dyDescent="0.2">
      <c r="A6682" t="str">
        <f>"GPR84"</f>
        <v>GPR84</v>
      </c>
      <c r="B6682" t="s">
        <v>5</v>
      </c>
    </row>
    <row r="6683" spans="1:2" x14ac:dyDescent="0.2">
      <c r="A6683" t="str">
        <f>"GPR85"</f>
        <v>GPR85</v>
      </c>
      <c r="B6683" t="s">
        <v>6</v>
      </c>
    </row>
    <row r="6684" spans="1:2" x14ac:dyDescent="0.2">
      <c r="A6684" t="str">
        <f>"GPR87"</f>
        <v>GPR87</v>
      </c>
      <c r="B6684" t="s">
        <v>5</v>
      </c>
    </row>
    <row r="6685" spans="1:2" x14ac:dyDescent="0.2">
      <c r="A6685" t="str">
        <f>"GPR88"</f>
        <v>GPR88</v>
      </c>
      <c r="B6685" t="s">
        <v>5</v>
      </c>
    </row>
    <row r="6686" spans="1:2" x14ac:dyDescent="0.2">
      <c r="A6686" t="str">
        <f>"GPR89A"</f>
        <v>GPR89A</v>
      </c>
      <c r="B6686" t="s">
        <v>6</v>
      </c>
    </row>
    <row r="6687" spans="1:2" x14ac:dyDescent="0.2">
      <c r="A6687" t="str">
        <f>"GPR89B"</f>
        <v>GPR89B</v>
      </c>
      <c r="B6687" t="s">
        <v>4</v>
      </c>
    </row>
    <row r="6688" spans="1:2" x14ac:dyDescent="0.2">
      <c r="A6688" t="str">
        <f>"GPR97"</f>
        <v>GPR97</v>
      </c>
      <c r="B6688" t="s">
        <v>5</v>
      </c>
    </row>
    <row r="6689" spans="1:2" x14ac:dyDescent="0.2">
      <c r="A6689" t="str">
        <f>"GPR98"</f>
        <v>GPR98</v>
      </c>
      <c r="B6689" t="s">
        <v>6</v>
      </c>
    </row>
    <row r="6690" spans="1:2" x14ac:dyDescent="0.2">
      <c r="A6690" t="str">
        <f>"GPRASP1"</f>
        <v>GPRASP1</v>
      </c>
      <c r="B6690" t="s">
        <v>3</v>
      </c>
    </row>
    <row r="6691" spans="1:2" x14ac:dyDescent="0.2">
      <c r="A6691" t="str">
        <f>"GPRASP2"</f>
        <v>GPRASP2</v>
      </c>
      <c r="B6691" t="s">
        <v>4</v>
      </c>
    </row>
    <row r="6692" spans="1:2" x14ac:dyDescent="0.2">
      <c r="A6692" t="str">
        <f>"GPRC5A"</f>
        <v>GPRC5A</v>
      </c>
      <c r="B6692" t="s">
        <v>7</v>
      </c>
    </row>
    <row r="6693" spans="1:2" x14ac:dyDescent="0.2">
      <c r="A6693" t="str">
        <f>"GPRC5B"</f>
        <v>GPRC5B</v>
      </c>
      <c r="B6693" t="s">
        <v>6</v>
      </c>
    </row>
    <row r="6694" spans="1:2" x14ac:dyDescent="0.2">
      <c r="A6694" t="str">
        <f>"GPRC5C"</f>
        <v>GPRC5C</v>
      </c>
      <c r="B6694" t="s">
        <v>6</v>
      </c>
    </row>
    <row r="6695" spans="1:2" x14ac:dyDescent="0.2">
      <c r="A6695" t="str">
        <f>"GPRC5D"</f>
        <v>GPRC5D</v>
      </c>
      <c r="B6695" t="s">
        <v>5</v>
      </c>
    </row>
    <row r="6696" spans="1:2" x14ac:dyDescent="0.2">
      <c r="A6696" t="str">
        <f>"GPRC6A"</f>
        <v>GPRC6A</v>
      </c>
      <c r="B6696" t="s">
        <v>2</v>
      </c>
    </row>
    <row r="6697" spans="1:2" x14ac:dyDescent="0.2">
      <c r="A6697" t="str">
        <f>"GPRIN1"</f>
        <v>GPRIN1</v>
      </c>
      <c r="B6697" t="s">
        <v>4</v>
      </c>
    </row>
    <row r="6698" spans="1:2" x14ac:dyDescent="0.2">
      <c r="A6698" t="str">
        <f>"GPRIN2"</f>
        <v>GPRIN2</v>
      </c>
      <c r="B6698" t="s">
        <v>4</v>
      </c>
    </row>
    <row r="6699" spans="1:2" x14ac:dyDescent="0.2">
      <c r="A6699" t="str">
        <f>"GPRIN3"</f>
        <v>GPRIN3</v>
      </c>
      <c r="B6699" t="s">
        <v>4</v>
      </c>
    </row>
    <row r="6700" spans="1:2" x14ac:dyDescent="0.2">
      <c r="A6700" t="str">
        <f>"GPS1"</f>
        <v>GPS1</v>
      </c>
      <c r="B6700" t="s">
        <v>3</v>
      </c>
    </row>
    <row r="6701" spans="1:2" x14ac:dyDescent="0.2">
      <c r="A6701" t="str">
        <f>"GPS2"</f>
        <v>GPS2</v>
      </c>
      <c r="B6701" t="s">
        <v>3</v>
      </c>
    </row>
    <row r="6702" spans="1:2" x14ac:dyDescent="0.2">
      <c r="A6702" t="str">
        <f>"GPSM1"</f>
        <v>GPSM1</v>
      </c>
      <c r="B6702" t="s">
        <v>2</v>
      </c>
    </row>
    <row r="6703" spans="1:2" x14ac:dyDescent="0.2">
      <c r="A6703" t="str">
        <f>"GPSM2"</f>
        <v>GPSM2</v>
      </c>
      <c r="B6703" t="s">
        <v>2</v>
      </c>
    </row>
    <row r="6704" spans="1:2" x14ac:dyDescent="0.2">
      <c r="A6704" t="str">
        <f>"GPSM3"</f>
        <v>GPSM3</v>
      </c>
      <c r="B6704" t="s">
        <v>6</v>
      </c>
    </row>
    <row r="6705" spans="1:2" x14ac:dyDescent="0.2">
      <c r="A6705" t="str">
        <f>"GPT"</f>
        <v>GPT</v>
      </c>
      <c r="B6705" t="s">
        <v>3</v>
      </c>
    </row>
    <row r="6706" spans="1:2" x14ac:dyDescent="0.2">
      <c r="A6706" t="str">
        <f>"GPT2"</f>
        <v>GPT2</v>
      </c>
      <c r="B6706" t="s">
        <v>7</v>
      </c>
    </row>
    <row r="6707" spans="1:2" x14ac:dyDescent="0.2">
      <c r="A6707" t="str">
        <f>"GPX1"</f>
        <v>GPX1</v>
      </c>
      <c r="B6707" t="s">
        <v>7</v>
      </c>
    </row>
    <row r="6708" spans="1:2" x14ac:dyDescent="0.2">
      <c r="A6708" t="str">
        <f>"GPX2"</f>
        <v>GPX2</v>
      </c>
      <c r="B6708" t="s">
        <v>7</v>
      </c>
    </row>
    <row r="6709" spans="1:2" x14ac:dyDescent="0.2">
      <c r="A6709" t="str">
        <f>"GPX3"</f>
        <v>GPX3</v>
      </c>
      <c r="B6709" t="s">
        <v>7</v>
      </c>
    </row>
    <row r="6710" spans="1:2" x14ac:dyDescent="0.2">
      <c r="A6710" t="str">
        <f>"GPX4"</f>
        <v>GPX4</v>
      </c>
      <c r="B6710" t="s">
        <v>3</v>
      </c>
    </row>
    <row r="6711" spans="1:2" x14ac:dyDescent="0.2">
      <c r="A6711" t="str">
        <f>"GPX5"</f>
        <v>GPX5</v>
      </c>
      <c r="B6711" t="s">
        <v>7</v>
      </c>
    </row>
    <row r="6712" spans="1:2" x14ac:dyDescent="0.2">
      <c r="A6712" t="str">
        <f>"GPX6"</f>
        <v>GPX6</v>
      </c>
      <c r="B6712" t="s">
        <v>7</v>
      </c>
    </row>
    <row r="6713" spans="1:2" x14ac:dyDescent="0.2">
      <c r="A6713" t="str">
        <f>"GPX7"</f>
        <v>GPX7</v>
      </c>
      <c r="B6713" t="s">
        <v>7</v>
      </c>
    </row>
    <row r="6714" spans="1:2" x14ac:dyDescent="0.2">
      <c r="A6714" t="str">
        <f>"GPX8"</f>
        <v>GPX8</v>
      </c>
      <c r="B6714" t="s">
        <v>7</v>
      </c>
    </row>
    <row r="6715" spans="1:2" x14ac:dyDescent="0.2">
      <c r="A6715" t="str">
        <f>"GRAMD1A"</f>
        <v>GRAMD1A</v>
      </c>
      <c r="B6715" t="s">
        <v>5</v>
      </c>
    </row>
    <row r="6716" spans="1:2" x14ac:dyDescent="0.2">
      <c r="A6716" t="str">
        <f>"GRAMD1B"</f>
        <v>GRAMD1B</v>
      </c>
      <c r="B6716" t="s">
        <v>5</v>
      </c>
    </row>
    <row r="6717" spans="1:2" x14ac:dyDescent="0.2">
      <c r="A6717" t="str">
        <f>"GRAMD1C"</f>
        <v>GRAMD1C</v>
      </c>
      <c r="B6717" t="s">
        <v>5</v>
      </c>
    </row>
    <row r="6718" spans="1:2" x14ac:dyDescent="0.2">
      <c r="A6718" t="str">
        <f>"GRAMD2"</f>
        <v>GRAMD2</v>
      </c>
      <c r="B6718" t="s">
        <v>5</v>
      </c>
    </row>
    <row r="6719" spans="1:2" x14ac:dyDescent="0.2">
      <c r="A6719" t="str">
        <f>"GRAMD3"</f>
        <v>GRAMD3</v>
      </c>
      <c r="B6719" t="s">
        <v>5</v>
      </c>
    </row>
    <row r="6720" spans="1:2" x14ac:dyDescent="0.2">
      <c r="A6720" t="str">
        <f>"GRAMD4"</f>
        <v>GRAMD4</v>
      </c>
      <c r="B6720" t="s">
        <v>6</v>
      </c>
    </row>
    <row r="6721" spans="1:2" x14ac:dyDescent="0.2">
      <c r="A6721" t="str">
        <f>"GRAP"</f>
        <v>GRAP</v>
      </c>
      <c r="B6721" t="s">
        <v>4</v>
      </c>
    </row>
    <row r="6722" spans="1:2" x14ac:dyDescent="0.2">
      <c r="A6722" t="str">
        <f>"GRAP2"</f>
        <v>GRAP2</v>
      </c>
      <c r="B6722" t="s">
        <v>3</v>
      </c>
    </row>
    <row r="6723" spans="1:2" x14ac:dyDescent="0.2">
      <c r="A6723" t="str">
        <f>"GRAPL"</f>
        <v>GRAPL</v>
      </c>
      <c r="B6723" t="s">
        <v>4</v>
      </c>
    </row>
    <row r="6724" spans="1:2" x14ac:dyDescent="0.2">
      <c r="A6724" t="str">
        <f>"GRASP"</f>
        <v>GRASP</v>
      </c>
      <c r="B6724" t="s">
        <v>4</v>
      </c>
    </row>
    <row r="6725" spans="1:2" x14ac:dyDescent="0.2">
      <c r="A6725" t="str">
        <f>"GRB10"</f>
        <v>GRB10</v>
      </c>
      <c r="B6725" t="s">
        <v>3</v>
      </c>
    </row>
    <row r="6726" spans="1:2" x14ac:dyDescent="0.2">
      <c r="A6726" t="str">
        <f>"GRB14"</f>
        <v>GRB14</v>
      </c>
      <c r="B6726" t="s">
        <v>2</v>
      </c>
    </row>
    <row r="6727" spans="1:2" x14ac:dyDescent="0.2">
      <c r="A6727" t="str">
        <f>"GRB2"</f>
        <v>GRB2</v>
      </c>
      <c r="B6727" t="s">
        <v>3</v>
      </c>
    </row>
    <row r="6728" spans="1:2" x14ac:dyDescent="0.2">
      <c r="A6728" t="str">
        <f>"GRB7"</f>
        <v>GRB7</v>
      </c>
      <c r="B6728" t="s">
        <v>6</v>
      </c>
    </row>
    <row r="6729" spans="1:2" x14ac:dyDescent="0.2">
      <c r="A6729" t="str">
        <f>"GREB1"</f>
        <v>GREB1</v>
      </c>
      <c r="B6729" t="s">
        <v>6</v>
      </c>
    </row>
    <row r="6730" spans="1:2" x14ac:dyDescent="0.2">
      <c r="A6730" t="str">
        <f>"GREB1L"</f>
        <v>GREB1L</v>
      </c>
      <c r="B6730" t="s">
        <v>4</v>
      </c>
    </row>
    <row r="6731" spans="1:2" x14ac:dyDescent="0.2">
      <c r="A6731" t="str">
        <f>"GREM1"</f>
        <v>GREM1</v>
      </c>
      <c r="B6731" t="s">
        <v>4</v>
      </c>
    </row>
    <row r="6732" spans="1:2" x14ac:dyDescent="0.2">
      <c r="A6732" t="str">
        <f>"GREM2"</f>
        <v>GREM2</v>
      </c>
      <c r="B6732" t="s">
        <v>3</v>
      </c>
    </row>
    <row r="6733" spans="1:2" x14ac:dyDescent="0.2">
      <c r="A6733" t="str">
        <f>"GRHL1"</f>
        <v>GRHL1</v>
      </c>
      <c r="B6733" t="s">
        <v>8</v>
      </c>
    </row>
    <row r="6734" spans="1:2" x14ac:dyDescent="0.2">
      <c r="A6734" t="str">
        <f>"GRHL2"</f>
        <v>GRHL2</v>
      </c>
      <c r="B6734" t="s">
        <v>8</v>
      </c>
    </row>
    <row r="6735" spans="1:2" x14ac:dyDescent="0.2">
      <c r="A6735" t="str">
        <f>"GRHL3"</f>
        <v>GRHL3</v>
      </c>
      <c r="B6735" t="s">
        <v>8</v>
      </c>
    </row>
    <row r="6736" spans="1:2" x14ac:dyDescent="0.2">
      <c r="A6736" t="str">
        <f>"GRHPR"</f>
        <v>GRHPR</v>
      </c>
      <c r="B6736" t="s">
        <v>3</v>
      </c>
    </row>
    <row r="6737" spans="1:2" x14ac:dyDescent="0.2">
      <c r="A6737" t="str">
        <f>"GRIA1"</f>
        <v>GRIA1</v>
      </c>
      <c r="B6737" t="s">
        <v>7</v>
      </c>
    </row>
    <row r="6738" spans="1:2" x14ac:dyDescent="0.2">
      <c r="A6738" t="str">
        <f>"GRIA2"</f>
        <v>GRIA2</v>
      </c>
      <c r="B6738" t="s">
        <v>7</v>
      </c>
    </row>
    <row r="6739" spans="1:2" x14ac:dyDescent="0.2">
      <c r="A6739" t="str">
        <f>"GRIA3"</f>
        <v>GRIA3</v>
      </c>
      <c r="B6739" t="s">
        <v>7</v>
      </c>
    </row>
    <row r="6740" spans="1:2" x14ac:dyDescent="0.2">
      <c r="A6740" t="str">
        <f>"GRIA4"</f>
        <v>GRIA4</v>
      </c>
      <c r="B6740" t="s">
        <v>3</v>
      </c>
    </row>
    <row r="6741" spans="1:2" x14ac:dyDescent="0.2">
      <c r="A6741" t="str">
        <f>"GRID1"</f>
        <v>GRID1</v>
      </c>
      <c r="B6741" t="s">
        <v>7</v>
      </c>
    </row>
    <row r="6742" spans="1:2" x14ac:dyDescent="0.2">
      <c r="A6742" t="str">
        <f>"GRID2"</f>
        <v>GRID2</v>
      </c>
      <c r="B6742" t="s">
        <v>7</v>
      </c>
    </row>
    <row r="6743" spans="1:2" x14ac:dyDescent="0.2">
      <c r="A6743" t="str">
        <f>"GRID2IP"</f>
        <v>GRID2IP</v>
      </c>
      <c r="B6743" t="s">
        <v>6</v>
      </c>
    </row>
    <row r="6744" spans="1:2" x14ac:dyDescent="0.2">
      <c r="A6744" t="str">
        <f>"GRIK1"</f>
        <v>GRIK1</v>
      </c>
      <c r="B6744" t="s">
        <v>3</v>
      </c>
    </row>
    <row r="6745" spans="1:2" x14ac:dyDescent="0.2">
      <c r="A6745" t="str">
        <f>"GRIK2"</f>
        <v>GRIK2</v>
      </c>
      <c r="B6745" t="s">
        <v>7</v>
      </c>
    </row>
    <row r="6746" spans="1:2" x14ac:dyDescent="0.2">
      <c r="A6746" t="str">
        <f>"GRIK3"</f>
        <v>GRIK3</v>
      </c>
      <c r="B6746" t="s">
        <v>7</v>
      </c>
    </row>
    <row r="6747" spans="1:2" x14ac:dyDescent="0.2">
      <c r="A6747" t="str">
        <f>"GRIK4"</f>
        <v>GRIK4</v>
      </c>
      <c r="B6747" t="s">
        <v>7</v>
      </c>
    </row>
    <row r="6748" spans="1:2" x14ac:dyDescent="0.2">
      <c r="A6748" t="str">
        <f>"GRIK5"</f>
        <v>GRIK5</v>
      </c>
      <c r="B6748" t="s">
        <v>7</v>
      </c>
    </row>
    <row r="6749" spans="1:2" x14ac:dyDescent="0.2">
      <c r="A6749" t="str">
        <f>"GRIN1"</f>
        <v>GRIN1</v>
      </c>
      <c r="B6749" t="s">
        <v>7</v>
      </c>
    </row>
    <row r="6750" spans="1:2" x14ac:dyDescent="0.2">
      <c r="A6750" t="str">
        <f>"GRIN2A"</f>
        <v>GRIN2A</v>
      </c>
      <c r="B6750" t="s">
        <v>3</v>
      </c>
    </row>
    <row r="6751" spans="1:2" x14ac:dyDescent="0.2">
      <c r="A6751" t="str">
        <f>"GRIN2B"</f>
        <v>GRIN2B</v>
      </c>
      <c r="B6751" t="s">
        <v>3</v>
      </c>
    </row>
    <row r="6752" spans="1:2" x14ac:dyDescent="0.2">
      <c r="A6752" t="str">
        <f>"GRIN2C"</f>
        <v>GRIN2C</v>
      </c>
      <c r="B6752" t="s">
        <v>7</v>
      </c>
    </row>
    <row r="6753" spans="1:2" x14ac:dyDescent="0.2">
      <c r="A6753" t="str">
        <f>"GRIN2D"</f>
        <v>GRIN2D</v>
      </c>
      <c r="B6753" t="s">
        <v>7</v>
      </c>
    </row>
    <row r="6754" spans="1:2" x14ac:dyDescent="0.2">
      <c r="A6754" t="str">
        <f>"GRIN3A"</f>
        <v>GRIN3A</v>
      </c>
      <c r="B6754" t="s">
        <v>7</v>
      </c>
    </row>
    <row r="6755" spans="1:2" x14ac:dyDescent="0.2">
      <c r="A6755" t="str">
        <f>"GRIN3B"</f>
        <v>GRIN3B</v>
      </c>
      <c r="B6755" t="s">
        <v>7</v>
      </c>
    </row>
    <row r="6756" spans="1:2" x14ac:dyDescent="0.2">
      <c r="A6756" t="str">
        <f>"GRINA"</f>
        <v>GRINA</v>
      </c>
      <c r="B6756" t="s">
        <v>5</v>
      </c>
    </row>
    <row r="6757" spans="1:2" x14ac:dyDescent="0.2">
      <c r="A6757" t="str">
        <f>"GRIP1"</f>
        <v>GRIP1</v>
      </c>
      <c r="B6757" t="s">
        <v>2</v>
      </c>
    </row>
    <row r="6758" spans="1:2" x14ac:dyDescent="0.2">
      <c r="A6758" t="str">
        <f>"GRIP2"</f>
        <v>GRIP2</v>
      </c>
      <c r="B6758" t="s">
        <v>5</v>
      </c>
    </row>
    <row r="6759" spans="1:2" x14ac:dyDescent="0.2">
      <c r="A6759" t="str">
        <f>"GRIPAP1"</f>
        <v>GRIPAP1</v>
      </c>
      <c r="B6759" t="s">
        <v>6</v>
      </c>
    </row>
    <row r="6760" spans="1:2" x14ac:dyDescent="0.2">
      <c r="A6760" t="str">
        <f>"GRK1"</f>
        <v>GRK1</v>
      </c>
      <c r="B6760" t="s">
        <v>7</v>
      </c>
    </row>
    <row r="6761" spans="1:2" x14ac:dyDescent="0.2">
      <c r="A6761" t="str">
        <f>"GRK4"</f>
        <v>GRK4</v>
      </c>
      <c r="B6761" t="s">
        <v>7</v>
      </c>
    </row>
    <row r="6762" spans="1:2" x14ac:dyDescent="0.2">
      <c r="A6762" t="str">
        <f>"GRK5"</f>
        <v>GRK5</v>
      </c>
      <c r="B6762" t="s">
        <v>7</v>
      </c>
    </row>
    <row r="6763" spans="1:2" x14ac:dyDescent="0.2">
      <c r="A6763" t="str">
        <f>"GRK6"</f>
        <v>GRK6</v>
      </c>
      <c r="B6763" t="s">
        <v>7</v>
      </c>
    </row>
    <row r="6764" spans="1:2" x14ac:dyDescent="0.2">
      <c r="A6764" t="str">
        <f>"GRK7"</f>
        <v>GRK7</v>
      </c>
      <c r="B6764" t="s">
        <v>7</v>
      </c>
    </row>
    <row r="6765" spans="1:2" x14ac:dyDescent="0.2">
      <c r="A6765" t="str">
        <f>"GRM1"</f>
        <v>GRM1</v>
      </c>
      <c r="B6765" t="s">
        <v>3</v>
      </c>
    </row>
    <row r="6766" spans="1:2" x14ac:dyDescent="0.2">
      <c r="A6766" t="str">
        <f>"GRM2"</f>
        <v>GRM2</v>
      </c>
      <c r="B6766" t="s">
        <v>7</v>
      </c>
    </row>
    <row r="6767" spans="1:2" x14ac:dyDescent="0.2">
      <c r="A6767" t="str">
        <f>"GRM3"</f>
        <v>GRM3</v>
      </c>
      <c r="B6767" t="s">
        <v>3</v>
      </c>
    </row>
    <row r="6768" spans="1:2" x14ac:dyDescent="0.2">
      <c r="A6768" t="str">
        <f>"GRM4"</f>
        <v>GRM4</v>
      </c>
      <c r="B6768" t="s">
        <v>7</v>
      </c>
    </row>
    <row r="6769" spans="1:2" x14ac:dyDescent="0.2">
      <c r="A6769" t="str">
        <f>"GRM5"</f>
        <v>GRM5</v>
      </c>
      <c r="B6769" t="s">
        <v>3</v>
      </c>
    </row>
    <row r="6770" spans="1:2" x14ac:dyDescent="0.2">
      <c r="A6770" t="str">
        <f>"GRM6"</f>
        <v>GRM6</v>
      </c>
      <c r="B6770" t="s">
        <v>8</v>
      </c>
    </row>
    <row r="6771" spans="1:2" x14ac:dyDescent="0.2">
      <c r="A6771" t="str">
        <f>"GRM7"</f>
        <v>GRM7</v>
      </c>
      <c r="B6771" t="s">
        <v>7</v>
      </c>
    </row>
    <row r="6772" spans="1:2" x14ac:dyDescent="0.2">
      <c r="A6772" t="str">
        <f>"GRM8"</f>
        <v>GRM8</v>
      </c>
      <c r="B6772" t="s">
        <v>7</v>
      </c>
    </row>
    <row r="6773" spans="1:2" x14ac:dyDescent="0.2">
      <c r="A6773" t="str">
        <f>"GRN"</f>
        <v>GRN</v>
      </c>
      <c r="B6773" t="s">
        <v>2</v>
      </c>
    </row>
    <row r="6774" spans="1:2" x14ac:dyDescent="0.2">
      <c r="A6774" t="str">
        <f>"GRP"</f>
        <v>GRP</v>
      </c>
      <c r="B6774" t="s">
        <v>3</v>
      </c>
    </row>
    <row r="6775" spans="1:2" x14ac:dyDescent="0.2">
      <c r="A6775" t="str">
        <f>"GRPEL1"</f>
        <v>GRPEL1</v>
      </c>
      <c r="B6775" t="s">
        <v>2</v>
      </c>
    </row>
    <row r="6776" spans="1:2" x14ac:dyDescent="0.2">
      <c r="A6776" t="str">
        <f>"GRPEL2"</f>
        <v>GRPEL2</v>
      </c>
      <c r="B6776" t="s">
        <v>2</v>
      </c>
    </row>
    <row r="6777" spans="1:2" x14ac:dyDescent="0.2">
      <c r="A6777" t="str">
        <f>"GRPR"</f>
        <v>GRPR</v>
      </c>
      <c r="B6777" t="s">
        <v>5</v>
      </c>
    </row>
    <row r="6778" spans="1:2" x14ac:dyDescent="0.2">
      <c r="A6778" t="str">
        <f>"GRSF1"</f>
        <v>GRSF1</v>
      </c>
      <c r="B6778" t="s">
        <v>6</v>
      </c>
    </row>
    <row r="6779" spans="1:2" x14ac:dyDescent="0.2">
      <c r="A6779" t="str">
        <f>"GRTP1"</f>
        <v>GRTP1</v>
      </c>
      <c r="B6779" t="s">
        <v>6</v>
      </c>
    </row>
    <row r="6780" spans="1:2" x14ac:dyDescent="0.2">
      <c r="A6780" t="str">
        <f>"GRWD1"</f>
        <v>GRWD1</v>
      </c>
      <c r="B6780" t="s">
        <v>8</v>
      </c>
    </row>
    <row r="6781" spans="1:2" x14ac:dyDescent="0.2">
      <c r="A6781" t="str">
        <f>"GRXCR1"</f>
        <v>GRXCR1</v>
      </c>
      <c r="B6781" t="s">
        <v>4</v>
      </c>
    </row>
    <row r="6782" spans="1:2" x14ac:dyDescent="0.2">
      <c r="A6782" t="str">
        <f>"GRXCR2"</f>
        <v>GRXCR2</v>
      </c>
      <c r="B6782" t="s">
        <v>4</v>
      </c>
    </row>
    <row r="6783" spans="1:2" x14ac:dyDescent="0.2">
      <c r="A6783" t="str">
        <f>"GSAP"</f>
        <v>GSAP</v>
      </c>
      <c r="B6783" t="s">
        <v>2</v>
      </c>
    </row>
    <row r="6784" spans="1:2" x14ac:dyDescent="0.2">
      <c r="A6784" t="str">
        <f>"GSC"</f>
        <v>GSC</v>
      </c>
      <c r="B6784" t="s">
        <v>8</v>
      </c>
    </row>
    <row r="6785" spans="1:2" x14ac:dyDescent="0.2">
      <c r="A6785" t="str">
        <f>"GSC2"</f>
        <v>GSC2</v>
      </c>
      <c r="B6785" t="s">
        <v>8</v>
      </c>
    </row>
    <row r="6786" spans="1:2" x14ac:dyDescent="0.2">
      <c r="A6786" t="str">
        <f>"GSDMA"</f>
        <v>GSDMA</v>
      </c>
      <c r="B6786" t="s">
        <v>4</v>
      </c>
    </row>
    <row r="6787" spans="1:2" x14ac:dyDescent="0.2">
      <c r="A6787" t="str">
        <f>"GSDMB"</f>
        <v>GSDMB</v>
      </c>
      <c r="B6787" t="s">
        <v>4</v>
      </c>
    </row>
    <row r="6788" spans="1:2" x14ac:dyDescent="0.2">
      <c r="A6788" t="str">
        <f>"GSDMC"</f>
        <v>GSDMC</v>
      </c>
      <c r="B6788" t="s">
        <v>6</v>
      </c>
    </row>
    <row r="6789" spans="1:2" x14ac:dyDescent="0.2">
      <c r="A6789" t="str">
        <f>"GSDMD"</f>
        <v>GSDMD</v>
      </c>
      <c r="B6789" t="s">
        <v>4</v>
      </c>
    </row>
    <row r="6790" spans="1:2" x14ac:dyDescent="0.2">
      <c r="A6790" t="str">
        <f>"GSE1"</f>
        <v>GSE1</v>
      </c>
      <c r="B6790" t="s">
        <v>3</v>
      </c>
    </row>
    <row r="6791" spans="1:2" x14ac:dyDescent="0.2">
      <c r="A6791" t="str">
        <f>"GSG1"</f>
        <v>GSG1</v>
      </c>
      <c r="B6791" t="s">
        <v>5</v>
      </c>
    </row>
    <row r="6792" spans="1:2" x14ac:dyDescent="0.2">
      <c r="A6792" t="str">
        <f>"GSG1L"</f>
        <v>GSG1L</v>
      </c>
      <c r="B6792" t="s">
        <v>5</v>
      </c>
    </row>
    <row r="6793" spans="1:2" x14ac:dyDescent="0.2">
      <c r="A6793" t="str">
        <f>"GSG2"</f>
        <v>GSG2</v>
      </c>
      <c r="B6793" t="s">
        <v>7</v>
      </c>
    </row>
    <row r="6794" spans="1:2" x14ac:dyDescent="0.2">
      <c r="A6794" t="str">
        <f>"GSK3A"</f>
        <v>GSK3A</v>
      </c>
      <c r="B6794" t="s">
        <v>7</v>
      </c>
    </row>
    <row r="6795" spans="1:2" x14ac:dyDescent="0.2">
      <c r="A6795" t="str">
        <f>"GSK3B"</f>
        <v>GSK3B</v>
      </c>
      <c r="B6795" t="s">
        <v>7</v>
      </c>
    </row>
    <row r="6796" spans="1:2" x14ac:dyDescent="0.2">
      <c r="A6796" t="str">
        <f>"GSKIP"</f>
        <v>GSKIP</v>
      </c>
      <c r="B6796" t="s">
        <v>4</v>
      </c>
    </row>
    <row r="6797" spans="1:2" x14ac:dyDescent="0.2">
      <c r="A6797" t="str">
        <f>"GSN"</f>
        <v>GSN</v>
      </c>
      <c r="B6797" t="s">
        <v>3</v>
      </c>
    </row>
    <row r="6798" spans="1:2" x14ac:dyDescent="0.2">
      <c r="A6798" t="str">
        <f>"GSPT1"</f>
        <v>GSPT1</v>
      </c>
      <c r="B6798" t="s">
        <v>3</v>
      </c>
    </row>
    <row r="6799" spans="1:2" x14ac:dyDescent="0.2">
      <c r="A6799" t="str">
        <f>"GSPT2"</f>
        <v>GSPT2</v>
      </c>
      <c r="B6799" t="s">
        <v>3</v>
      </c>
    </row>
    <row r="6800" spans="1:2" x14ac:dyDescent="0.2">
      <c r="A6800" t="str">
        <f>"GSR"</f>
        <v>GSR</v>
      </c>
      <c r="B6800" t="s">
        <v>7</v>
      </c>
    </row>
    <row r="6801" spans="1:2" x14ac:dyDescent="0.2">
      <c r="A6801" t="str">
        <f>"GSS"</f>
        <v>GSS</v>
      </c>
      <c r="B6801" t="s">
        <v>7</v>
      </c>
    </row>
    <row r="6802" spans="1:2" x14ac:dyDescent="0.2">
      <c r="A6802" t="str">
        <f>"GSTA1"</f>
        <v>GSTA1</v>
      </c>
      <c r="B6802" t="s">
        <v>3</v>
      </c>
    </row>
    <row r="6803" spans="1:2" x14ac:dyDescent="0.2">
      <c r="A6803" t="str">
        <f>"GSTA2"</f>
        <v>GSTA2</v>
      </c>
      <c r="B6803" t="s">
        <v>7</v>
      </c>
    </row>
    <row r="6804" spans="1:2" x14ac:dyDescent="0.2">
      <c r="A6804" t="str">
        <f>"GSTA3"</f>
        <v>GSTA3</v>
      </c>
      <c r="B6804" t="s">
        <v>7</v>
      </c>
    </row>
    <row r="6805" spans="1:2" x14ac:dyDescent="0.2">
      <c r="A6805" t="str">
        <f>"GSTA4"</f>
        <v>GSTA4</v>
      </c>
      <c r="B6805" t="s">
        <v>7</v>
      </c>
    </row>
    <row r="6806" spans="1:2" x14ac:dyDescent="0.2">
      <c r="A6806" t="str">
        <f>"GSTA5"</f>
        <v>GSTA5</v>
      </c>
      <c r="B6806" t="s">
        <v>7</v>
      </c>
    </row>
    <row r="6807" spans="1:2" x14ac:dyDescent="0.2">
      <c r="A6807" t="str">
        <f>"GSTCD"</f>
        <v>GSTCD</v>
      </c>
      <c r="B6807" t="s">
        <v>4</v>
      </c>
    </row>
    <row r="6808" spans="1:2" x14ac:dyDescent="0.2">
      <c r="A6808" t="str">
        <f>"GSTK1"</f>
        <v>GSTK1</v>
      </c>
      <c r="B6808" t="s">
        <v>7</v>
      </c>
    </row>
    <row r="6809" spans="1:2" x14ac:dyDescent="0.2">
      <c r="A6809" t="str">
        <f>"GSTM1"</f>
        <v>GSTM1</v>
      </c>
      <c r="B6809" t="s">
        <v>3</v>
      </c>
    </row>
    <row r="6810" spans="1:2" x14ac:dyDescent="0.2">
      <c r="A6810" t="str">
        <f>"GSTM2"</f>
        <v>GSTM2</v>
      </c>
      <c r="B6810" t="s">
        <v>3</v>
      </c>
    </row>
    <row r="6811" spans="1:2" x14ac:dyDescent="0.2">
      <c r="A6811" t="str">
        <f>"GSTM3"</f>
        <v>GSTM3</v>
      </c>
      <c r="B6811" t="s">
        <v>3</v>
      </c>
    </row>
    <row r="6812" spans="1:2" x14ac:dyDescent="0.2">
      <c r="A6812" t="str">
        <f>"GSTM4"</f>
        <v>GSTM4</v>
      </c>
      <c r="B6812" t="s">
        <v>7</v>
      </c>
    </row>
    <row r="6813" spans="1:2" x14ac:dyDescent="0.2">
      <c r="A6813" t="str">
        <f>"GSTM5"</f>
        <v>GSTM5</v>
      </c>
      <c r="B6813" t="s">
        <v>3</v>
      </c>
    </row>
    <row r="6814" spans="1:2" x14ac:dyDescent="0.2">
      <c r="A6814" t="str">
        <f>"GSTO1"</f>
        <v>GSTO1</v>
      </c>
      <c r="B6814" t="s">
        <v>7</v>
      </c>
    </row>
    <row r="6815" spans="1:2" x14ac:dyDescent="0.2">
      <c r="A6815" t="str">
        <f>"GSTO2"</f>
        <v>GSTO2</v>
      </c>
      <c r="B6815" t="s">
        <v>7</v>
      </c>
    </row>
    <row r="6816" spans="1:2" x14ac:dyDescent="0.2">
      <c r="A6816" t="str">
        <f>"GSTP1"</f>
        <v>GSTP1</v>
      </c>
      <c r="B6816" t="s">
        <v>3</v>
      </c>
    </row>
    <row r="6817" spans="1:2" x14ac:dyDescent="0.2">
      <c r="A6817" t="str">
        <f>"GSTT1"</f>
        <v>GSTT1</v>
      </c>
      <c r="B6817" t="s">
        <v>3</v>
      </c>
    </row>
    <row r="6818" spans="1:2" x14ac:dyDescent="0.2">
      <c r="A6818" t="str">
        <f>"GSTT2"</f>
        <v>GSTT2</v>
      </c>
      <c r="B6818" t="s">
        <v>7</v>
      </c>
    </row>
    <row r="6819" spans="1:2" x14ac:dyDescent="0.2">
      <c r="A6819" t="str">
        <f>"GSTT2B"</f>
        <v>GSTT2B</v>
      </c>
      <c r="B6819" t="s">
        <v>6</v>
      </c>
    </row>
    <row r="6820" spans="1:2" x14ac:dyDescent="0.2">
      <c r="A6820" t="str">
        <f>"GSTZ1"</f>
        <v>GSTZ1</v>
      </c>
      <c r="B6820" t="s">
        <v>3</v>
      </c>
    </row>
    <row r="6821" spans="1:2" x14ac:dyDescent="0.2">
      <c r="A6821" t="str">
        <f>"GSX1"</f>
        <v>GSX1</v>
      </c>
      <c r="B6821" t="s">
        <v>8</v>
      </c>
    </row>
    <row r="6822" spans="1:2" x14ac:dyDescent="0.2">
      <c r="A6822" t="str">
        <f>"GSX2"</f>
        <v>GSX2</v>
      </c>
      <c r="B6822" t="s">
        <v>8</v>
      </c>
    </row>
    <row r="6823" spans="1:2" x14ac:dyDescent="0.2">
      <c r="A6823" t="str">
        <f>"GTDC1"</f>
        <v>GTDC1</v>
      </c>
      <c r="B6823" t="s">
        <v>5</v>
      </c>
    </row>
    <row r="6824" spans="1:2" x14ac:dyDescent="0.2">
      <c r="A6824" t="str">
        <f>"GTF2A1"</f>
        <v>GTF2A1</v>
      </c>
      <c r="B6824" t="s">
        <v>8</v>
      </c>
    </row>
    <row r="6825" spans="1:2" x14ac:dyDescent="0.2">
      <c r="A6825" t="str">
        <f>"GTF2A1L"</f>
        <v>GTF2A1L</v>
      </c>
      <c r="B6825" t="s">
        <v>8</v>
      </c>
    </row>
    <row r="6826" spans="1:2" x14ac:dyDescent="0.2">
      <c r="A6826" t="str">
        <f>"GTF2A2"</f>
        <v>GTF2A2</v>
      </c>
      <c r="B6826" t="s">
        <v>8</v>
      </c>
    </row>
    <row r="6827" spans="1:2" x14ac:dyDescent="0.2">
      <c r="A6827" t="str">
        <f>"GTF2B"</f>
        <v>GTF2B</v>
      </c>
      <c r="B6827" t="s">
        <v>3</v>
      </c>
    </row>
    <row r="6828" spans="1:2" x14ac:dyDescent="0.2">
      <c r="A6828" t="str">
        <f>"GTF2E1"</f>
        <v>GTF2E1</v>
      </c>
      <c r="B6828" t="s">
        <v>2</v>
      </c>
    </row>
    <row r="6829" spans="1:2" x14ac:dyDescent="0.2">
      <c r="A6829" t="str">
        <f>"GTF2E2"</f>
        <v>GTF2E2</v>
      </c>
      <c r="B6829" t="s">
        <v>8</v>
      </c>
    </row>
    <row r="6830" spans="1:2" x14ac:dyDescent="0.2">
      <c r="A6830" t="str">
        <f>"GTF2F1"</f>
        <v>GTF2F1</v>
      </c>
      <c r="B6830" t="s">
        <v>8</v>
      </c>
    </row>
    <row r="6831" spans="1:2" x14ac:dyDescent="0.2">
      <c r="A6831" t="str">
        <f>"GTF2F2"</f>
        <v>GTF2F2</v>
      </c>
      <c r="B6831" t="s">
        <v>2</v>
      </c>
    </row>
    <row r="6832" spans="1:2" x14ac:dyDescent="0.2">
      <c r="A6832" t="str">
        <f>"GTF2H1"</f>
        <v>GTF2H1</v>
      </c>
      <c r="B6832" t="s">
        <v>3</v>
      </c>
    </row>
    <row r="6833" spans="1:2" x14ac:dyDescent="0.2">
      <c r="A6833" t="str">
        <f>"GTF2H2"</f>
        <v>GTF2H2</v>
      </c>
      <c r="B6833" t="s">
        <v>8</v>
      </c>
    </row>
    <row r="6834" spans="1:2" x14ac:dyDescent="0.2">
      <c r="A6834" t="str">
        <f>"GTF2H2C"</f>
        <v>GTF2H2C</v>
      </c>
      <c r="B6834" t="s">
        <v>3</v>
      </c>
    </row>
    <row r="6835" spans="1:2" x14ac:dyDescent="0.2">
      <c r="A6835" t="str">
        <f>"GTF2H2D"</f>
        <v>GTF2H2D</v>
      </c>
      <c r="B6835" t="s">
        <v>4</v>
      </c>
    </row>
    <row r="6836" spans="1:2" x14ac:dyDescent="0.2">
      <c r="A6836" t="str">
        <f>"GTF2H3"</f>
        <v>GTF2H3</v>
      </c>
      <c r="B6836" t="s">
        <v>3</v>
      </c>
    </row>
    <row r="6837" spans="1:2" x14ac:dyDescent="0.2">
      <c r="A6837" t="str">
        <f>"GTF2H4"</f>
        <v>GTF2H4</v>
      </c>
      <c r="B6837" t="s">
        <v>3</v>
      </c>
    </row>
    <row r="6838" spans="1:2" x14ac:dyDescent="0.2">
      <c r="A6838" t="str">
        <f>"GTF2H5"</f>
        <v>GTF2H5</v>
      </c>
      <c r="B6838" t="s">
        <v>3</v>
      </c>
    </row>
    <row r="6839" spans="1:2" x14ac:dyDescent="0.2">
      <c r="A6839" t="str">
        <f>"GTF2I"</f>
        <v>GTF2I</v>
      </c>
      <c r="B6839" t="s">
        <v>8</v>
      </c>
    </row>
    <row r="6840" spans="1:2" x14ac:dyDescent="0.2">
      <c r="A6840" t="str">
        <f>"GTF2IRD1"</f>
        <v>GTF2IRD1</v>
      </c>
      <c r="B6840" t="s">
        <v>8</v>
      </c>
    </row>
    <row r="6841" spans="1:2" x14ac:dyDescent="0.2">
      <c r="A6841" t="str">
        <f>"GTF2IRD2"</f>
        <v>GTF2IRD2</v>
      </c>
      <c r="B6841" t="s">
        <v>8</v>
      </c>
    </row>
    <row r="6842" spans="1:2" x14ac:dyDescent="0.2">
      <c r="A6842" t="str">
        <f>"GTF2IRD2B"</f>
        <v>GTF2IRD2B</v>
      </c>
      <c r="B6842" t="s">
        <v>8</v>
      </c>
    </row>
    <row r="6843" spans="1:2" x14ac:dyDescent="0.2">
      <c r="A6843" t="str">
        <f>"GTF3A"</f>
        <v>GTF3A</v>
      </c>
      <c r="B6843" t="s">
        <v>8</v>
      </c>
    </row>
    <row r="6844" spans="1:2" x14ac:dyDescent="0.2">
      <c r="A6844" t="str">
        <f>"GTF3C1"</f>
        <v>GTF3C1</v>
      </c>
      <c r="B6844" t="s">
        <v>8</v>
      </c>
    </row>
    <row r="6845" spans="1:2" x14ac:dyDescent="0.2">
      <c r="A6845" t="str">
        <f>"GTF3C2"</f>
        <v>GTF3C2</v>
      </c>
      <c r="B6845" t="s">
        <v>8</v>
      </c>
    </row>
    <row r="6846" spans="1:2" x14ac:dyDescent="0.2">
      <c r="A6846" t="str">
        <f>"GTF3C3"</f>
        <v>GTF3C3</v>
      </c>
      <c r="B6846" t="s">
        <v>8</v>
      </c>
    </row>
    <row r="6847" spans="1:2" x14ac:dyDescent="0.2">
      <c r="A6847" t="str">
        <f>"GTF3C4"</f>
        <v>GTF3C4</v>
      </c>
      <c r="B6847" t="s">
        <v>8</v>
      </c>
    </row>
    <row r="6848" spans="1:2" x14ac:dyDescent="0.2">
      <c r="A6848" t="str">
        <f>"GTF3C5"</f>
        <v>GTF3C5</v>
      </c>
      <c r="B6848" t="s">
        <v>8</v>
      </c>
    </row>
    <row r="6849" spans="1:2" x14ac:dyDescent="0.2">
      <c r="A6849" t="str">
        <f>"GTF3C6"</f>
        <v>GTF3C6</v>
      </c>
      <c r="B6849" t="s">
        <v>8</v>
      </c>
    </row>
    <row r="6850" spans="1:2" x14ac:dyDescent="0.2">
      <c r="A6850" t="str">
        <f>"GTPBP1"</f>
        <v>GTPBP1</v>
      </c>
      <c r="B6850" t="s">
        <v>5</v>
      </c>
    </row>
    <row r="6851" spans="1:2" x14ac:dyDescent="0.2">
      <c r="A6851" t="str">
        <f>"GTPBP10"</f>
        <v>GTPBP10</v>
      </c>
      <c r="B6851" t="s">
        <v>2</v>
      </c>
    </row>
    <row r="6852" spans="1:2" x14ac:dyDescent="0.2">
      <c r="A6852" t="str">
        <f>"GTPBP2"</f>
        <v>GTPBP2</v>
      </c>
      <c r="B6852" t="s">
        <v>6</v>
      </c>
    </row>
    <row r="6853" spans="1:2" x14ac:dyDescent="0.2">
      <c r="A6853" t="str">
        <f>"GTPBP3"</f>
        <v>GTPBP3</v>
      </c>
      <c r="B6853" t="s">
        <v>6</v>
      </c>
    </row>
    <row r="6854" spans="1:2" x14ac:dyDescent="0.2">
      <c r="A6854" t="str">
        <f>"GTPBP4"</f>
        <v>GTPBP4</v>
      </c>
      <c r="B6854" t="s">
        <v>3</v>
      </c>
    </row>
    <row r="6855" spans="1:2" x14ac:dyDescent="0.2">
      <c r="A6855" t="str">
        <f>"GTPBP6"</f>
        <v>GTPBP6</v>
      </c>
      <c r="B6855" t="s">
        <v>4</v>
      </c>
    </row>
    <row r="6856" spans="1:2" x14ac:dyDescent="0.2">
      <c r="A6856" t="str">
        <f>"GTPBP8"</f>
        <v>GTPBP8</v>
      </c>
      <c r="B6856" t="s">
        <v>6</v>
      </c>
    </row>
    <row r="6857" spans="1:2" x14ac:dyDescent="0.2">
      <c r="A6857" t="str">
        <f>"GTSCR1"</f>
        <v>GTSCR1</v>
      </c>
      <c r="B6857" t="s">
        <v>5</v>
      </c>
    </row>
    <row r="6858" spans="1:2" x14ac:dyDescent="0.2">
      <c r="A6858" t="str">
        <f>"GTSE1"</f>
        <v>GTSE1</v>
      </c>
      <c r="B6858" t="s">
        <v>3</v>
      </c>
    </row>
    <row r="6859" spans="1:2" x14ac:dyDescent="0.2">
      <c r="A6859" t="str">
        <f>"GTSF1"</f>
        <v>GTSF1</v>
      </c>
      <c r="B6859" t="s">
        <v>4</v>
      </c>
    </row>
    <row r="6860" spans="1:2" x14ac:dyDescent="0.2">
      <c r="A6860" t="str">
        <f>"GTSF1L"</f>
        <v>GTSF1L</v>
      </c>
      <c r="B6860" t="s">
        <v>4</v>
      </c>
    </row>
    <row r="6861" spans="1:2" x14ac:dyDescent="0.2">
      <c r="A6861" t="str">
        <f>"GUCA1A"</f>
        <v>GUCA1A</v>
      </c>
      <c r="B6861" t="s">
        <v>7</v>
      </c>
    </row>
    <row r="6862" spans="1:2" x14ac:dyDescent="0.2">
      <c r="A6862" t="str">
        <f>"GUCA1B"</f>
        <v>GUCA1B</v>
      </c>
      <c r="B6862" t="s">
        <v>4</v>
      </c>
    </row>
    <row r="6863" spans="1:2" x14ac:dyDescent="0.2">
      <c r="A6863" t="str">
        <f>"GUCA1C"</f>
        <v>GUCA1C</v>
      </c>
      <c r="B6863" t="s">
        <v>4</v>
      </c>
    </row>
    <row r="6864" spans="1:2" x14ac:dyDescent="0.2">
      <c r="A6864" t="str">
        <f>"GUCA2A"</f>
        <v>GUCA2A</v>
      </c>
      <c r="B6864" t="s">
        <v>4</v>
      </c>
    </row>
    <row r="6865" spans="1:2" x14ac:dyDescent="0.2">
      <c r="A6865" t="str">
        <f>"GUCA2B"</f>
        <v>GUCA2B</v>
      </c>
      <c r="B6865" t="s">
        <v>4</v>
      </c>
    </row>
    <row r="6866" spans="1:2" x14ac:dyDescent="0.2">
      <c r="A6866" t="str">
        <f>"GUCD1"</f>
        <v>GUCD1</v>
      </c>
      <c r="B6866" t="s">
        <v>4</v>
      </c>
    </row>
    <row r="6867" spans="1:2" x14ac:dyDescent="0.2">
      <c r="A6867" t="str">
        <f>"GUCY1A2"</f>
        <v>GUCY1A2</v>
      </c>
      <c r="B6867" t="s">
        <v>3</v>
      </c>
    </row>
    <row r="6868" spans="1:2" x14ac:dyDescent="0.2">
      <c r="A6868" t="str">
        <f>"GUCY1A3"</f>
        <v>GUCY1A3</v>
      </c>
      <c r="B6868" t="s">
        <v>3</v>
      </c>
    </row>
    <row r="6869" spans="1:2" x14ac:dyDescent="0.2">
      <c r="A6869" t="str">
        <f>"GUCY1B3"</f>
        <v>GUCY1B3</v>
      </c>
      <c r="B6869" t="s">
        <v>3</v>
      </c>
    </row>
    <row r="6870" spans="1:2" x14ac:dyDescent="0.2">
      <c r="A6870" t="str">
        <f>"GUCY2C"</f>
        <v>GUCY2C</v>
      </c>
      <c r="B6870" t="s">
        <v>7</v>
      </c>
    </row>
    <row r="6871" spans="1:2" x14ac:dyDescent="0.2">
      <c r="A6871" t="str">
        <f>"GUCY2D"</f>
        <v>GUCY2D</v>
      </c>
      <c r="B6871" t="s">
        <v>7</v>
      </c>
    </row>
    <row r="6872" spans="1:2" x14ac:dyDescent="0.2">
      <c r="A6872" t="str">
        <f>"GUCY2F"</f>
        <v>GUCY2F</v>
      </c>
      <c r="B6872" t="s">
        <v>7</v>
      </c>
    </row>
    <row r="6873" spans="1:2" x14ac:dyDescent="0.2">
      <c r="A6873" t="str">
        <f>"GUF1"</f>
        <v>GUF1</v>
      </c>
      <c r="B6873" t="s">
        <v>6</v>
      </c>
    </row>
    <row r="6874" spans="1:2" x14ac:dyDescent="0.2">
      <c r="A6874" t="str">
        <f>"GUK1"</f>
        <v>GUK1</v>
      </c>
      <c r="B6874" t="s">
        <v>7</v>
      </c>
    </row>
    <row r="6875" spans="1:2" x14ac:dyDescent="0.2">
      <c r="A6875" t="str">
        <f>"GULP1"</f>
        <v>GULP1</v>
      </c>
      <c r="B6875" t="s">
        <v>6</v>
      </c>
    </row>
    <row r="6876" spans="1:2" x14ac:dyDescent="0.2">
      <c r="A6876" t="str">
        <f>"GUSB"</f>
        <v>GUSB</v>
      </c>
      <c r="B6876" t="s">
        <v>7</v>
      </c>
    </row>
    <row r="6877" spans="1:2" x14ac:dyDescent="0.2">
      <c r="A6877" t="str">
        <f>"GVQW1"</f>
        <v>GVQW1</v>
      </c>
      <c r="B6877" t="s">
        <v>4</v>
      </c>
    </row>
    <row r="6878" spans="1:2" x14ac:dyDescent="0.2">
      <c r="A6878" t="str">
        <f>"GXYLT1"</f>
        <v>GXYLT1</v>
      </c>
      <c r="B6878" t="s">
        <v>4</v>
      </c>
    </row>
    <row r="6879" spans="1:2" x14ac:dyDescent="0.2">
      <c r="A6879" t="str">
        <f>"GXYLT2"</f>
        <v>GXYLT2</v>
      </c>
      <c r="B6879" t="s">
        <v>4</v>
      </c>
    </row>
    <row r="6880" spans="1:2" x14ac:dyDescent="0.2">
      <c r="A6880" t="str">
        <f>"GYG1"</f>
        <v>GYG1</v>
      </c>
      <c r="B6880" t="s">
        <v>7</v>
      </c>
    </row>
    <row r="6881" spans="1:2" x14ac:dyDescent="0.2">
      <c r="A6881" t="str">
        <f>"GYG2"</f>
        <v>GYG2</v>
      </c>
      <c r="B6881" t="s">
        <v>4</v>
      </c>
    </row>
    <row r="6882" spans="1:2" x14ac:dyDescent="0.2">
      <c r="A6882" t="str">
        <f>"GYLTL1B"</f>
        <v>GYLTL1B</v>
      </c>
      <c r="B6882" t="s">
        <v>4</v>
      </c>
    </row>
    <row r="6883" spans="1:2" x14ac:dyDescent="0.2">
      <c r="A6883" t="str">
        <f>"GYPA"</f>
        <v>GYPA</v>
      </c>
      <c r="B6883" t="s">
        <v>5</v>
      </c>
    </row>
    <row r="6884" spans="1:2" x14ac:dyDescent="0.2">
      <c r="A6884" t="str">
        <f>"GYPB"</f>
        <v>GYPB</v>
      </c>
      <c r="B6884" t="s">
        <v>4</v>
      </c>
    </row>
    <row r="6885" spans="1:2" x14ac:dyDescent="0.2">
      <c r="A6885" t="str">
        <f>"GYPC"</f>
        <v>GYPC</v>
      </c>
      <c r="B6885" t="s">
        <v>6</v>
      </c>
    </row>
    <row r="6886" spans="1:2" x14ac:dyDescent="0.2">
      <c r="A6886" t="str">
        <f>"GYPE"</f>
        <v>GYPE</v>
      </c>
      <c r="B6886" t="s">
        <v>5</v>
      </c>
    </row>
    <row r="6887" spans="1:2" x14ac:dyDescent="0.2">
      <c r="A6887" t="str">
        <f>"GYS1"</f>
        <v>GYS1</v>
      </c>
      <c r="B6887" t="s">
        <v>2</v>
      </c>
    </row>
    <row r="6888" spans="1:2" x14ac:dyDescent="0.2">
      <c r="A6888" t="str">
        <f>"GYS2"</f>
        <v>GYS2</v>
      </c>
      <c r="B6888" t="s">
        <v>2</v>
      </c>
    </row>
    <row r="6889" spans="1:2" x14ac:dyDescent="0.2">
      <c r="A6889" t="str">
        <f>"GZF1"</f>
        <v>GZF1</v>
      </c>
      <c r="B6889" t="s">
        <v>8</v>
      </c>
    </row>
    <row r="6890" spans="1:2" x14ac:dyDescent="0.2">
      <c r="A6890" t="str">
        <f>"GZMA"</f>
        <v>GZMA</v>
      </c>
      <c r="B6890" t="s">
        <v>2</v>
      </c>
    </row>
    <row r="6891" spans="1:2" x14ac:dyDescent="0.2">
      <c r="A6891" t="str">
        <f>"GZMB"</f>
        <v>GZMB</v>
      </c>
      <c r="B6891" t="s">
        <v>7</v>
      </c>
    </row>
    <row r="6892" spans="1:2" x14ac:dyDescent="0.2">
      <c r="A6892" t="str">
        <f>"GZMH"</f>
        <v>GZMH</v>
      </c>
      <c r="B6892" t="s">
        <v>2</v>
      </c>
    </row>
    <row r="6893" spans="1:2" x14ac:dyDescent="0.2">
      <c r="A6893" t="str">
        <f>"GZMK"</f>
        <v>GZMK</v>
      </c>
      <c r="B6893" t="s">
        <v>2</v>
      </c>
    </row>
    <row r="6894" spans="1:2" x14ac:dyDescent="0.2">
      <c r="A6894" t="str">
        <f>"GZMM"</f>
        <v>GZMM</v>
      </c>
      <c r="B6894" t="s">
        <v>2</v>
      </c>
    </row>
    <row r="6895" spans="1:2" x14ac:dyDescent="0.2">
      <c r="A6895" t="str">
        <f>"H1F0"</f>
        <v>H1F0</v>
      </c>
      <c r="B6895" t="s">
        <v>8</v>
      </c>
    </row>
    <row r="6896" spans="1:2" x14ac:dyDescent="0.2">
      <c r="A6896" t="str">
        <f>"H1FNT"</f>
        <v>H1FNT</v>
      </c>
      <c r="B6896" t="s">
        <v>8</v>
      </c>
    </row>
    <row r="6897" spans="1:2" x14ac:dyDescent="0.2">
      <c r="A6897" t="str">
        <f>"H1FOO"</f>
        <v>H1FOO</v>
      </c>
      <c r="B6897" t="s">
        <v>8</v>
      </c>
    </row>
    <row r="6898" spans="1:2" x14ac:dyDescent="0.2">
      <c r="A6898" t="str">
        <f>"H1FX"</f>
        <v>H1FX</v>
      </c>
      <c r="B6898" t="s">
        <v>8</v>
      </c>
    </row>
    <row r="6899" spans="1:2" x14ac:dyDescent="0.2">
      <c r="A6899" t="str">
        <f>"H2AFB1"</f>
        <v>H2AFB1</v>
      </c>
      <c r="B6899" t="s">
        <v>8</v>
      </c>
    </row>
    <row r="6900" spans="1:2" x14ac:dyDescent="0.2">
      <c r="A6900" t="str">
        <f>"H2AFB2"</f>
        <v>H2AFB2</v>
      </c>
      <c r="B6900" t="s">
        <v>8</v>
      </c>
    </row>
    <row r="6901" spans="1:2" x14ac:dyDescent="0.2">
      <c r="A6901" t="str">
        <f>"H2AFB3"</f>
        <v>H2AFB3</v>
      </c>
      <c r="B6901" t="s">
        <v>8</v>
      </c>
    </row>
    <row r="6902" spans="1:2" x14ac:dyDescent="0.2">
      <c r="A6902" t="str">
        <f>"H2AFJ"</f>
        <v>H2AFJ</v>
      </c>
      <c r="B6902" t="s">
        <v>8</v>
      </c>
    </row>
    <row r="6903" spans="1:2" x14ac:dyDescent="0.2">
      <c r="A6903" t="str">
        <f>"H2AFV"</f>
        <v>H2AFV</v>
      </c>
      <c r="B6903" t="s">
        <v>6</v>
      </c>
    </row>
    <row r="6904" spans="1:2" x14ac:dyDescent="0.2">
      <c r="A6904" t="str">
        <f>"H2AFX"</f>
        <v>H2AFX</v>
      </c>
      <c r="B6904" t="s">
        <v>3</v>
      </c>
    </row>
    <row r="6905" spans="1:2" x14ac:dyDescent="0.2">
      <c r="A6905" t="str">
        <f>"H2AFY"</f>
        <v>H2AFY</v>
      </c>
      <c r="B6905" t="s">
        <v>3</v>
      </c>
    </row>
    <row r="6906" spans="1:2" x14ac:dyDescent="0.2">
      <c r="A6906" t="str">
        <f>"H2AFY2"</f>
        <v>H2AFY2</v>
      </c>
      <c r="B6906" t="s">
        <v>8</v>
      </c>
    </row>
    <row r="6907" spans="1:2" x14ac:dyDescent="0.2">
      <c r="A6907" t="str">
        <f>"H2AFZ"</f>
        <v>H2AFZ</v>
      </c>
      <c r="B6907" t="s">
        <v>2</v>
      </c>
    </row>
    <row r="6908" spans="1:2" x14ac:dyDescent="0.2">
      <c r="A6908" t="str">
        <f>"H2BFM"</f>
        <v>H2BFM</v>
      </c>
      <c r="B6908" t="s">
        <v>2</v>
      </c>
    </row>
    <row r="6909" spans="1:2" x14ac:dyDescent="0.2">
      <c r="A6909" t="str">
        <f>"H2BFWT"</f>
        <v>H2BFWT</v>
      </c>
      <c r="B6909" t="s">
        <v>8</v>
      </c>
    </row>
    <row r="6910" spans="1:2" x14ac:dyDescent="0.2">
      <c r="A6910" t="str">
        <f>"H3F3A"</f>
        <v>H3F3A</v>
      </c>
      <c r="B6910" t="s">
        <v>3</v>
      </c>
    </row>
    <row r="6911" spans="1:2" x14ac:dyDescent="0.2">
      <c r="A6911" t="str">
        <f>"H3F3B"</f>
        <v>H3F3B</v>
      </c>
      <c r="B6911" t="s">
        <v>3</v>
      </c>
    </row>
    <row r="6912" spans="1:2" x14ac:dyDescent="0.2">
      <c r="A6912" t="str">
        <f>"H3F3C"</f>
        <v>H3F3C</v>
      </c>
      <c r="B6912" t="s">
        <v>3</v>
      </c>
    </row>
    <row r="6913" spans="1:2" x14ac:dyDescent="0.2">
      <c r="A6913" t="str">
        <f>"H6PD"</f>
        <v>H6PD</v>
      </c>
      <c r="B6913" t="s">
        <v>7</v>
      </c>
    </row>
    <row r="6914" spans="1:2" x14ac:dyDescent="0.2">
      <c r="A6914" t="str">
        <f>"HAAO"</f>
        <v>HAAO</v>
      </c>
      <c r="B6914" t="s">
        <v>2</v>
      </c>
    </row>
    <row r="6915" spans="1:2" x14ac:dyDescent="0.2">
      <c r="A6915" t="str">
        <f>"HABP2"</f>
        <v>HABP2</v>
      </c>
      <c r="B6915" t="s">
        <v>2</v>
      </c>
    </row>
    <row r="6916" spans="1:2" x14ac:dyDescent="0.2">
      <c r="A6916" t="str">
        <f>"HABP4"</f>
        <v>HABP4</v>
      </c>
      <c r="B6916" t="s">
        <v>8</v>
      </c>
    </row>
    <row r="6917" spans="1:2" x14ac:dyDescent="0.2">
      <c r="A6917" t="str">
        <f>"HACE1"</f>
        <v>HACE1</v>
      </c>
      <c r="B6917" t="s">
        <v>2</v>
      </c>
    </row>
    <row r="6918" spans="1:2" x14ac:dyDescent="0.2">
      <c r="A6918" t="str">
        <f>"HACL1"</f>
        <v>HACL1</v>
      </c>
      <c r="B6918" t="s">
        <v>6</v>
      </c>
    </row>
    <row r="6919" spans="1:2" x14ac:dyDescent="0.2">
      <c r="A6919" t="str">
        <f>"HADH"</f>
        <v>HADH</v>
      </c>
      <c r="B6919" t="s">
        <v>7</v>
      </c>
    </row>
    <row r="6920" spans="1:2" x14ac:dyDescent="0.2">
      <c r="A6920" t="str">
        <f>"HADHA"</f>
        <v>HADHA</v>
      </c>
      <c r="B6920" t="s">
        <v>7</v>
      </c>
    </row>
    <row r="6921" spans="1:2" x14ac:dyDescent="0.2">
      <c r="A6921" t="str">
        <f>"HADHB"</f>
        <v>HADHB</v>
      </c>
      <c r="B6921" t="s">
        <v>3</v>
      </c>
    </row>
    <row r="6922" spans="1:2" x14ac:dyDescent="0.2">
      <c r="A6922" t="str">
        <f>"HAGH"</f>
        <v>HAGH</v>
      </c>
      <c r="B6922" t="s">
        <v>7</v>
      </c>
    </row>
    <row r="6923" spans="1:2" x14ac:dyDescent="0.2">
      <c r="A6923" t="str">
        <f>"HAGHL"</f>
        <v>HAGHL</v>
      </c>
      <c r="B6923" t="s">
        <v>3</v>
      </c>
    </row>
    <row r="6924" spans="1:2" x14ac:dyDescent="0.2">
      <c r="A6924" t="str">
        <f>"HAL"</f>
        <v>HAL</v>
      </c>
      <c r="B6924" t="s">
        <v>7</v>
      </c>
    </row>
    <row r="6925" spans="1:2" x14ac:dyDescent="0.2">
      <c r="A6925" t="str">
        <f>"HAMP"</f>
        <v>HAMP</v>
      </c>
      <c r="B6925" t="s">
        <v>4</v>
      </c>
    </row>
    <row r="6926" spans="1:2" x14ac:dyDescent="0.2">
      <c r="A6926" t="str">
        <f>"HAND1"</f>
        <v>HAND1</v>
      </c>
      <c r="B6926" t="s">
        <v>2</v>
      </c>
    </row>
    <row r="6927" spans="1:2" x14ac:dyDescent="0.2">
      <c r="A6927" t="str">
        <f>"HAND2"</f>
        <v>HAND2</v>
      </c>
      <c r="B6927" t="s">
        <v>8</v>
      </c>
    </row>
    <row r="6928" spans="1:2" x14ac:dyDescent="0.2">
      <c r="A6928" t="str">
        <f>"HAO1"</f>
        <v>HAO1</v>
      </c>
      <c r="B6928" t="s">
        <v>7</v>
      </c>
    </row>
    <row r="6929" spans="1:2" x14ac:dyDescent="0.2">
      <c r="A6929" t="str">
        <f>"HAO2"</f>
        <v>HAO2</v>
      </c>
      <c r="B6929" t="s">
        <v>7</v>
      </c>
    </row>
    <row r="6930" spans="1:2" x14ac:dyDescent="0.2">
      <c r="A6930" t="str">
        <f>"HAP1"</f>
        <v>HAP1</v>
      </c>
      <c r="B6930" t="s">
        <v>6</v>
      </c>
    </row>
    <row r="6931" spans="1:2" x14ac:dyDescent="0.2">
      <c r="A6931" t="str">
        <f>"HAPLN1"</f>
        <v>HAPLN1</v>
      </c>
      <c r="B6931" t="s">
        <v>3</v>
      </c>
    </row>
    <row r="6932" spans="1:2" x14ac:dyDescent="0.2">
      <c r="A6932" t="str">
        <f>"HAPLN2"</f>
        <v>HAPLN2</v>
      </c>
      <c r="B6932" t="s">
        <v>4</v>
      </c>
    </row>
    <row r="6933" spans="1:2" x14ac:dyDescent="0.2">
      <c r="A6933" t="str">
        <f>"HAPLN3"</f>
        <v>HAPLN3</v>
      </c>
      <c r="B6933" t="s">
        <v>4</v>
      </c>
    </row>
    <row r="6934" spans="1:2" x14ac:dyDescent="0.2">
      <c r="A6934" t="str">
        <f>"HAPLN4"</f>
        <v>HAPLN4</v>
      </c>
      <c r="B6934" t="s">
        <v>5</v>
      </c>
    </row>
    <row r="6935" spans="1:2" x14ac:dyDescent="0.2">
      <c r="A6935" t="str">
        <f>"HARBI1"</f>
        <v>HARBI1</v>
      </c>
      <c r="B6935" t="s">
        <v>2</v>
      </c>
    </row>
    <row r="6936" spans="1:2" x14ac:dyDescent="0.2">
      <c r="A6936" t="str">
        <f>"HARS"</f>
        <v>HARS</v>
      </c>
      <c r="B6936" t="s">
        <v>7</v>
      </c>
    </row>
    <row r="6937" spans="1:2" x14ac:dyDescent="0.2">
      <c r="A6937" t="str">
        <f>"HARS2"</f>
        <v>HARS2</v>
      </c>
      <c r="B6937" t="s">
        <v>6</v>
      </c>
    </row>
    <row r="6938" spans="1:2" x14ac:dyDescent="0.2">
      <c r="A6938" t="str">
        <f>"HAS1"</f>
        <v>HAS1</v>
      </c>
      <c r="B6938" t="s">
        <v>5</v>
      </c>
    </row>
    <row r="6939" spans="1:2" x14ac:dyDescent="0.2">
      <c r="A6939" t="str">
        <f>"HAS2"</f>
        <v>HAS2</v>
      </c>
      <c r="B6939" t="s">
        <v>2</v>
      </c>
    </row>
    <row r="6940" spans="1:2" x14ac:dyDescent="0.2">
      <c r="A6940" t="str">
        <f>"HAS3"</f>
        <v>HAS3</v>
      </c>
      <c r="B6940" t="s">
        <v>3</v>
      </c>
    </row>
    <row r="6941" spans="1:2" x14ac:dyDescent="0.2">
      <c r="A6941" t="str">
        <f>"HAT1"</f>
        <v>HAT1</v>
      </c>
      <c r="B6941" t="s">
        <v>8</v>
      </c>
    </row>
    <row r="6942" spans="1:2" x14ac:dyDescent="0.2">
      <c r="A6942" t="str">
        <f>"HAUS1"</f>
        <v>HAUS1</v>
      </c>
      <c r="B6942" t="s">
        <v>3</v>
      </c>
    </row>
    <row r="6943" spans="1:2" x14ac:dyDescent="0.2">
      <c r="A6943" t="str">
        <f>"HAUS2"</f>
        <v>HAUS2</v>
      </c>
      <c r="B6943" t="s">
        <v>3</v>
      </c>
    </row>
    <row r="6944" spans="1:2" x14ac:dyDescent="0.2">
      <c r="A6944" t="str">
        <f>"HAUS3"</f>
        <v>HAUS3</v>
      </c>
      <c r="B6944" t="s">
        <v>2</v>
      </c>
    </row>
    <row r="6945" spans="1:2" x14ac:dyDescent="0.2">
      <c r="A6945" t="str">
        <f>"HAUS4"</f>
        <v>HAUS4</v>
      </c>
      <c r="B6945" t="s">
        <v>4</v>
      </c>
    </row>
    <row r="6946" spans="1:2" x14ac:dyDescent="0.2">
      <c r="A6946" t="str">
        <f>"HAUS5"</f>
        <v>HAUS5</v>
      </c>
      <c r="B6946" t="s">
        <v>3</v>
      </c>
    </row>
    <row r="6947" spans="1:2" x14ac:dyDescent="0.2">
      <c r="A6947" t="str">
        <f>"HAUS6"</f>
        <v>HAUS6</v>
      </c>
      <c r="B6947" t="s">
        <v>4</v>
      </c>
    </row>
    <row r="6948" spans="1:2" x14ac:dyDescent="0.2">
      <c r="A6948" t="str">
        <f>"HAUS7"</f>
        <v>HAUS7</v>
      </c>
      <c r="B6948" t="s">
        <v>2</v>
      </c>
    </row>
    <row r="6949" spans="1:2" x14ac:dyDescent="0.2">
      <c r="A6949" t="str">
        <f>"HAUS8"</f>
        <v>HAUS8</v>
      </c>
      <c r="B6949" t="s">
        <v>4</v>
      </c>
    </row>
    <row r="6950" spans="1:2" x14ac:dyDescent="0.2">
      <c r="A6950" t="str">
        <f>"HAVCR1"</f>
        <v>HAVCR1</v>
      </c>
      <c r="B6950" t="s">
        <v>8</v>
      </c>
    </row>
    <row r="6951" spans="1:2" x14ac:dyDescent="0.2">
      <c r="A6951" t="str">
        <f>"HAVCR2"</f>
        <v>HAVCR2</v>
      </c>
      <c r="B6951" t="s">
        <v>5</v>
      </c>
    </row>
    <row r="6952" spans="1:2" x14ac:dyDescent="0.2">
      <c r="A6952" t="str">
        <f>"HAX1"</f>
        <v>HAX1</v>
      </c>
      <c r="B6952" t="s">
        <v>2</v>
      </c>
    </row>
    <row r="6953" spans="1:2" x14ac:dyDescent="0.2">
      <c r="A6953" t="str">
        <f>"HBA1"</f>
        <v>HBA1</v>
      </c>
      <c r="B6953" t="s">
        <v>7</v>
      </c>
    </row>
    <row r="6954" spans="1:2" x14ac:dyDescent="0.2">
      <c r="A6954" t="str">
        <f>"HBA2"</f>
        <v>HBA2</v>
      </c>
      <c r="B6954" t="s">
        <v>3</v>
      </c>
    </row>
    <row r="6955" spans="1:2" x14ac:dyDescent="0.2">
      <c r="A6955" t="str">
        <f>"HBB"</f>
        <v>HBB</v>
      </c>
      <c r="B6955" t="s">
        <v>7</v>
      </c>
    </row>
    <row r="6956" spans="1:2" x14ac:dyDescent="0.2">
      <c r="A6956" t="str">
        <f>"HBD"</f>
        <v>HBD</v>
      </c>
      <c r="B6956" t="s">
        <v>5</v>
      </c>
    </row>
    <row r="6957" spans="1:2" x14ac:dyDescent="0.2">
      <c r="A6957" t="str">
        <f>"HBE1"</f>
        <v>HBE1</v>
      </c>
      <c r="B6957" t="s">
        <v>4</v>
      </c>
    </row>
    <row r="6958" spans="1:2" x14ac:dyDescent="0.2">
      <c r="A6958" t="str">
        <f>"HBEGF"</f>
        <v>HBEGF</v>
      </c>
      <c r="B6958" t="s">
        <v>5</v>
      </c>
    </row>
    <row r="6959" spans="1:2" x14ac:dyDescent="0.2">
      <c r="A6959" t="str">
        <f>"HBG1"</f>
        <v>HBG1</v>
      </c>
      <c r="B6959" t="s">
        <v>7</v>
      </c>
    </row>
    <row r="6960" spans="1:2" x14ac:dyDescent="0.2">
      <c r="A6960" t="str">
        <f>"HBG2"</f>
        <v>HBG2</v>
      </c>
      <c r="B6960" t="s">
        <v>5</v>
      </c>
    </row>
    <row r="6961" spans="1:2" x14ac:dyDescent="0.2">
      <c r="A6961" t="str">
        <f>"HBM"</f>
        <v>HBM</v>
      </c>
      <c r="B6961" t="s">
        <v>4</v>
      </c>
    </row>
    <row r="6962" spans="1:2" x14ac:dyDescent="0.2">
      <c r="A6962" t="str">
        <f>"HBP1"</f>
        <v>HBP1</v>
      </c>
      <c r="B6962" t="s">
        <v>3</v>
      </c>
    </row>
    <row r="6963" spans="1:2" x14ac:dyDescent="0.2">
      <c r="A6963" t="str">
        <f>"HBQ1"</f>
        <v>HBQ1</v>
      </c>
      <c r="B6963" t="s">
        <v>4</v>
      </c>
    </row>
    <row r="6964" spans="1:2" x14ac:dyDescent="0.2">
      <c r="A6964" t="str">
        <f>"HBS1L"</f>
        <v>HBS1L</v>
      </c>
      <c r="B6964" t="s">
        <v>8</v>
      </c>
    </row>
    <row r="6965" spans="1:2" x14ac:dyDescent="0.2">
      <c r="A6965" t="str">
        <f>"HBZ"</f>
        <v>HBZ</v>
      </c>
      <c r="B6965" t="s">
        <v>4</v>
      </c>
    </row>
    <row r="6966" spans="1:2" x14ac:dyDescent="0.2">
      <c r="A6966" t="str">
        <f>"HCAR1"</f>
        <v>HCAR1</v>
      </c>
      <c r="B6966" t="s">
        <v>5</v>
      </c>
    </row>
    <row r="6967" spans="1:2" x14ac:dyDescent="0.2">
      <c r="A6967" t="str">
        <f>"HCAR2"</f>
        <v>HCAR2</v>
      </c>
      <c r="B6967" t="s">
        <v>5</v>
      </c>
    </row>
    <row r="6968" spans="1:2" x14ac:dyDescent="0.2">
      <c r="A6968" t="str">
        <f>"HCAR3"</f>
        <v>HCAR3</v>
      </c>
      <c r="B6968" t="s">
        <v>5</v>
      </c>
    </row>
    <row r="6969" spans="1:2" x14ac:dyDescent="0.2">
      <c r="A6969" t="str">
        <f>"HCCS"</f>
        <v>HCCS</v>
      </c>
      <c r="B6969" t="s">
        <v>2</v>
      </c>
    </row>
    <row r="6970" spans="1:2" x14ac:dyDescent="0.2">
      <c r="A6970" t="str">
        <f>"HCFC1"</f>
        <v>HCFC1</v>
      </c>
      <c r="B6970" t="s">
        <v>3</v>
      </c>
    </row>
    <row r="6971" spans="1:2" x14ac:dyDescent="0.2">
      <c r="A6971" t="str">
        <f>"HCFC1R1"</f>
        <v>HCFC1R1</v>
      </c>
      <c r="B6971" t="s">
        <v>4</v>
      </c>
    </row>
    <row r="6972" spans="1:2" x14ac:dyDescent="0.2">
      <c r="A6972" t="str">
        <f>"HCFC2"</f>
        <v>HCFC2</v>
      </c>
      <c r="B6972" t="s">
        <v>8</v>
      </c>
    </row>
    <row r="6973" spans="1:2" x14ac:dyDescent="0.2">
      <c r="A6973" t="str">
        <f>"HCK"</f>
        <v>HCK</v>
      </c>
      <c r="B6973" t="s">
        <v>7</v>
      </c>
    </row>
    <row r="6974" spans="1:2" x14ac:dyDescent="0.2">
      <c r="A6974" t="str">
        <f>"HCLS1"</f>
        <v>HCLS1</v>
      </c>
      <c r="B6974" t="s">
        <v>6</v>
      </c>
    </row>
    <row r="6975" spans="1:2" x14ac:dyDescent="0.2">
      <c r="A6975" t="str">
        <f>"HCN1"</f>
        <v>HCN1</v>
      </c>
      <c r="B6975" t="s">
        <v>5</v>
      </c>
    </row>
    <row r="6976" spans="1:2" x14ac:dyDescent="0.2">
      <c r="A6976" t="str">
        <f>"HCN2"</f>
        <v>HCN2</v>
      </c>
      <c r="B6976" t="s">
        <v>7</v>
      </c>
    </row>
    <row r="6977" spans="1:2" x14ac:dyDescent="0.2">
      <c r="A6977" t="str">
        <f>"HCN3"</f>
        <v>HCN3</v>
      </c>
      <c r="B6977" t="s">
        <v>5</v>
      </c>
    </row>
    <row r="6978" spans="1:2" x14ac:dyDescent="0.2">
      <c r="A6978" t="str">
        <f>"HCN4"</f>
        <v>HCN4</v>
      </c>
      <c r="B6978" t="s">
        <v>5</v>
      </c>
    </row>
    <row r="6979" spans="1:2" x14ac:dyDescent="0.2">
      <c r="A6979" t="str">
        <f>"HCRT"</f>
        <v>HCRT</v>
      </c>
      <c r="B6979" t="s">
        <v>7</v>
      </c>
    </row>
    <row r="6980" spans="1:2" x14ac:dyDescent="0.2">
      <c r="A6980" t="str">
        <f>"HCRTR1"</f>
        <v>HCRTR1</v>
      </c>
      <c r="B6980" t="s">
        <v>5</v>
      </c>
    </row>
    <row r="6981" spans="1:2" x14ac:dyDescent="0.2">
      <c r="A6981" t="str">
        <f>"HCRTR2"</f>
        <v>HCRTR2</v>
      </c>
      <c r="B6981" t="s">
        <v>5</v>
      </c>
    </row>
    <row r="6982" spans="1:2" x14ac:dyDescent="0.2">
      <c r="A6982" t="str">
        <f>"HCST"</f>
        <v>HCST</v>
      </c>
      <c r="B6982" t="s">
        <v>4</v>
      </c>
    </row>
    <row r="6983" spans="1:2" x14ac:dyDescent="0.2">
      <c r="A6983" t="str">
        <f>"HDAC1"</f>
        <v>HDAC1</v>
      </c>
      <c r="B6983" t="s">
        <v>3</v>
      </c>
    </row>
    <row r="6984" spans="1:2" x14ac:dyDescent="0.2">
      <c r="A6984" t="str">
        <f>"HDAC10"</f>
        <v>HDAC10</v>
      </c>
      <c r="B6984" t="s">
        <v>3</v>
      </c>
    </row>
    <row r="6985" spans="1:2" x14ac:dyDescent="0.2">
      <c r="A6985" t="str">
        <f>"HDAC11"</f>
        <v>HDAC11</v>
      </c>
      <c r="B6985" t="s">
        <v>8</v>
      </c>
    </row>
    <row r="6986" spans="1:2" x14ac:dyDescent="0.2">
      <c r="A6986" t="str">
        <f>"HDAC2"</f>
        <v>HDAC2</v>
      </c>
      <c r="B6986" t="s">
        <v>3</v>
      </c>
    </row>
    <row r="6987" spans="1:2" x14ac:dyDescent="0.2">
      <c r="A6987" t="str">
        <f>"HDAC3"</f>
        <v>HDAC3</v>
      </c>
      <c r="B6987" t="s">
        <v>3</v>
      </c>
    </row>
    <row r="6988" spans="1:2" x14ac:dyDescent="0.2">
      <c r="A6988" t="str">
        <f>"HDAC4"</f>
        <v>HDAC4</v>
      </c>
      <c r="B6988" t="s">
        <v>3</v>
      </c>
    </row>
    <row r="6989" spans="1:2" x14ac:dyDescent="0.2">
      <c r="A6989" t="str">
        <f>"HDAC5"</f>
        <v>HDAC5</v>
      </c>
      <c r="B6989" t="s">
        <v>3</v>
      </c>
    </row>
    <row r="6990" spans="1:2" x14ac:dyDescent="0.2">
      <c r="A6990" t="str">
        <f>"HDAC6"</f>
        <v>HDAC6</v>
      </c>
      <c r="B6990" t="s">
        <v>3</v>
      </c>
    </row>
    <row r="6991" spans="1:2" x14ac:dyDescent="0.2">
      <c r="A6991" t="str">
        <f>"HDAC7"</f>
        <v>HDAC7</v>
      </c>
      <c r="B6991" t="s">
        <v>3</v>
      </c>
    </row>
    <row r="6992" spans="1:2" x14ac:dyDescent="0.2">
      <c r="A6992" t="str">
        <f>"HDAC8"</f>
        <v>HDAC8</v>
      </c>
      <c r="B6992" t="s">
        <v>3</v>
      </c>
    </row>
    <row r="6993" spans="1:2" x14ac:dyDescent="0.2">
      <c r="A6993" t="str">
        <f>"HDAC9"</f>
        <v>HDAC9</v>
      </c>
      <c r="B6993" t="s">
        <v>3</v>
      </c>
    </row>
    <row r="6994" spans="1:2" x14ac:dyDescent="0.2">
      <c r="A6994" t="str">
        <f>"HDC"</f>
        <v>HDC</v>
      </c>
      <c r="B6994" t="s">
        <v>7</v>
      </c>
    </row>
    <row r="6995" spans="1:2" x14ac:dyDescent="0.2">
      <c r="A6995" t="str">
        <f>"HDDC2"</f>
        <v>HDDC2</v>
      </c>
      <c r="B6995" t="s">
        <v>6</v>
      </c>
    </row>
    <row r="6996" spans="1:2" x14ac:dyDescent="0.2">
      <c r="A6996" t="str">
        <f>"HDDC3"</f>
        <v>HDDC3</v>
      </c>
      <c r="B6996" t="s">
        <v>4</v>
      </c>
    </row>
    <row r="6997" spans="1:2" x14ac:dyDescent="0.2">
      <c r="A6997" t="str">
        <f>"HDGF"</f>
        <v>HDGF</v>
      </c>
      <c r="B6997" t="s">
        <v>4</v>
      </c>
    </row>
    <row r="6998" spans="1:2" x14ac:dyDescent="0.2">
      <c r="A6998" t="str">
        <f>"HDGFL1"</f>
        <v>HDGFL1</v>
      </c>
      <c r="B6998" t="s">
        <v>4</v>
      </c>
    </row>
    <row r="6999" spans="1:2" x14ac:dyDescent="0.2">
      <c r="A6999" t="str">
        <f>"HDGFRP2"</f>
        <v>HDGFRP2</v>
      </c>
      <c r="B6999" t="s">
        <v>8</v>
      </c>
    </row>
    <row r="7000" spans="1:2" x14ac:dyDescent="0.2">
      <c r="A7000" t="str">
        <f>"HDGFRP3"</f>
        <v>HDGFRP3</v>
      </c>
      <c r="B7000" t="s">
        <v>4</v>
      </c>
    </row>
    <row r="7001" spans="1:2" x14ac:dyDescent="0.2">
      <c r="A7001" t="str">
        <f>"HDHD1"</f>
        <v>HDHD1</v>
      </c>
      <c r="B7001" t="s">
        <v>7</v>
      </c>
    </row>
    <row r="7002" spans="1:2" x14ac:dyDescent="0.2">
      <c r="A7002" t="str">
        <f>"HDHD2"</f>
        <v>HDHD2</v>
      </c>
      <c r="B7002" t="s">
        <v>6</v>
      </c>
    </row>
    <row r="7003" spans="1:2" x14ac:dyDescent="0.2">
      <c r="A7003" t="str">
        <f>"HDHD3"</f>
        <v>HDHD3</v>
      </c>
      <c r="B7003" t="s">
        <v>2</v>
      </c>
    </row>
    <row r="7004" spans="1:2" x14ac:dyDescent="0.2">
      <c r="A7004" t="str">
        <f>"HDLBP"</f>
        <v>HDLBP</v>
      </c>
      <c r="B7004" t="s">
        <v>2</v>
      </c>
    </row>
    <row r="7005" spans="1:2" x14ac:dyDescent="0.2">
      <c r="A7005" t="str">
        <f>"HDX"</f>
        <v>HDX</v>
      </c>
      <c r="B7005" t="s">
        <v>8</v>
      </c>
    </row>
    <row r="7006" spans="1:2" x14ac:dyDescent="0.2">
      <c r="A7006" t="str">
        <f>"HEATR1"</f>
        <v>HEATR1</v>
      </c>
      <c r="B7006" t="s">
        <v>6</v>
      </c>
    </row>
    <row r="7007" spans="1:2" x14ac:dyDescent="0.2">
      <c r="A7007" t="str">
        <f>"HEATR2"</f>
        <v>HEATR2</v>
      </c>
      <c r="B7007" t="s">
        <v>3</v>
      </c>
    </row>
    <row r="7008" spans="1:2" x14ac:dyDescent="0.2">
      <c r="A7008" t="str">
        <f>"HEATR3"</f>
        <v>HEATR3</v>
      </c>
      <c r="B7008" t="s">
        <v>2</v>
      </c>
    </row>
    <row r="7009" spans="1:2" x14ac:dyDescent="0.2">
      <c r="A7009" t="str">
        <f>"HEATR4"</f>
        <v>HEATR4</v>
      </c>
      <c r="B7009" t="s">
        <v>4</v>
      </c>
    </row>
    <row r="7010" spans="1:2" x14ac:dyDescent="0.2">
      <c r="A7010" t="str">
        <f>"HEATR5A"</f>
        <v>HEATR5A</v>
      </c>
      <c r="B7010" t="s">
        <v>5</v>
      </c>
    </row>
    <row r="7011" spans="1:2" x14ac:dyDescent="0.2">
      <c r="A7011" t="str">
        <f>"HEATR5B"</f>
        <v>HEATR5B</v>
      </c>
      <c r="B7011" t="s">
        <v>4</v>
      </c>
    </row>
    <row r="7012" spans="1:2" x14ac:dyDescent="0.2">
      <c r="A7012" t="str">
        <f>"HEATR6"</f>
        <v>HEATR6</v>
      </c>
      <c r="B7012" t="s">
        <v>4</v>
      </c>
    </row>
    <row r="7013" spans="1:2" x14ac:dyDescent="0.2">
      <c r="A7013" t="str">
        <f>"HEBP1"</f>
        <v>HEBP1</v>
      </c>
      <c r="B7013" t="s">
        <v>6</v>
      </c>
    </row>
    <row r="7014" spans="1:2" x14ac:dyDescent="0.2">
      <c r="A7014" t="str">
        <f>"HEBP2"</f>
        <v>HEBP2</v>
      </c>
      <c r="B7014" t="s">
        <v>6</v>
      </c>
    </row>
    <row r="7015" spans="1:2" x14ac:dyDescent="0.2">
      <c r="A7015" t="str">
        <f>"HECA"</f>
        <v>HECA</v>
      </c>
      <c r="B7015" t="s">
        <v>4</v>
      </c>
    </row>
    <row r="7016" spans="1:2" x14ac:dyDescent="0.2">
      <c r="A7016" t="str">
        <f>"HECTD1"</f>
        <v>HECTD1</v>
      </c>
      <c r="B7016" t="s">
        <v>2</v>
      </c>
    </row>
    <row r="7017" spans="1:2" x14ac:dyDescent="0.2">
      <c r="A7017" t="str">
        <f>"HECTD2"</f>
        <v>HECTD2</v>
      </c>
      <c r="B7017" t="s">
        <v>2</v>
      </c>
    </row>
    <row r="7018" spans="1:2" x14ac:dyDescent="0.2">
      <c r="A7018" t="str">
        <f>"HECTD3"</f>
        <v>HECTD3</v>
      </c>
      <c r="B7018" t="s">
        <v>2</v>
      </c>
    </row>
    <row r="7019" spans="1:2" x14ac:dyDescent="0.2">
      <c r="A7019" t="str">
        <f>"HECTD4"</f>
        <v>HECTD4</v>
      </c>
      <c r="B7019" t="s">
        <v>2</v>
      </c>
    </row>
    <row r="7020" spans="1:2" x14ac:dyDescent="0.2">
      <c r="A7020" t="str">
        <f>"HECW1"</f>
        <v>HECW1</v>
      </c>
      <c r="B7020" t="s">
        <v>3</v>
      </c>
    </row>
    <row r="7021" spans="1:2" x14ac:dyDescent="0.2">
      <c r="A7021" t="str">
        <f>"HECW2"</f>
        <v>HECW2</v>
      </c>
      <c r="B7021" t="s">
        <v>2</v>
      </c>
    </row>
    <row r="7022" spans="1:2" x14ac:dyDescent="0.2">
      <c r="A7022" t="str">
        <f>"HEG1"</f>
        <v>HEG1</v>
      </c>
      <c r="B7022" t="s">
        <v>6</v>
      </c>
    </row>
    <row r="7023" spans="1:2" x14ac:dyDescent="0.2">
      <c r="A7023" t="str">
        <f>"HELB"</f>
        <v>HELB</v>
      </c>
      <c r="B7023" t="s">
        <v>8</v>
      </c>
    </row>
    <row r="7024" spans="1:2" x14ac:dyDescent="0.2">
      <c r="A7024" t="str">
        <f>"HELLS"</f>
        <v>HELLS</v>
      </c>
      <c r="B7024" t="s">
        <v>3</v>
      </c>
    </row>
    <row r="7025" spans="1:2" x14ac:dyDescent="0.2">
      <c r="A7025" t="str">
        <f>"HELQ"</f>
        <v>HELQ</v>
      </c>
      <c r="B7025" t="s">
        <v>8</v>
      </c>
    </row>
    <row r="7026" spans="1:2" x14ac:dyDescent="0.2">
      <c r="A7026" t="str">
        <f>"HELT"</f>
        <v>HELT</v>
      </c>
      <c r="B7026" t="s">
        <v>8</v>
      </c>
    </row>
    <row r="7027" spans="1:2" x14ac:dyDescent="0.2">
      <c r="A7027" t="str">
        <f>"HELZ"</f>
        <v>HELZ</v>
      </c>
      <c r="B7027" t="s">
        <v>8</v>
      </c>
    </row>
    <row r="7028" spans="1:2" x14ac:dyDescent="0.2">
      <c r="A7028" t="str">
        <f>"HELZ2"</f>
        <v>HELZ2</v>
      </c>
      <c r="B7028" t="s">
        <v>8</v>
      </c>
    </row>
    <row r="7029" spans="1:2" x14ac:dyDescent="0.2">
      <c r="A7029" t="str">
        <f>"HEMGN"</f>
        <v>HEMGN</v>
      </c>
      <c r="B7029" t="s">
        <v>4</v>
      </c>
    </row>
    <row r="7030" spans="1:2" x14ac:dyDescent="0.2">
      <c r="A7030" t="str">
        <f>"HEMK1"</f>
        <v>HEMK1</v>
      </c>
      <c r="B7030" t="s">
        <v>6</v>
      </c>
    </row>
    <row r="7031" spans="1:2" x14ac:dyDescent="0.2">
      <c r="A7031" t="str">
        <f>"HENMT1"</f>
        <v>HENMT1</v>
      </c>
      <c r="B7031" t="s">
        <v>8</v>
      </c>
    </row>
    <row r="7032" spans="1:2" x14ac:dyDescent="0.2">
      <c r="A7032" t="str">
        <f>"HEPACAM"</f>
        <v>HEPACAM</v>
      </c>
      <c r="B7032" t="s">
        <v>3</v>
      </c>
    </row>
    <row r="7033" spans="1:2" x14ac:dyDescent="0.2">
      <c r="A7033" t="str">
        <f>"HEPACAM2"</f>
        <v>HEPACAM2</v>
      </c>
      <c r="B7033" t="s">
        <v>5</v>
      </c>
    </row>
    <row r="7034" spans="1:2" x14ac:dyDescent="0.2">
      <c r="A7034" t="str">
        <f>"HEPH"</f>
        <v>HEPH</v>
      </c>
      <c r="B7034" t="s">
        <v>3</v>
      </c>
    </row>
    <row r="7035" spans="1:2" x14ac:dyDescent="0.2">
      <c r="A7035" t="str">
        <f>"HEPHL1"</f>
        <v>HEPHL1</v>
      </c>
      <c r="B7035" t="s">
        <v>5</v>
      </c>
    </row>
    <row r="7036" spans="1:2" x14ac:dyDescent="0.2">
      <c r="A7036" t="str">
        <f>"HEPN1"</f>
        <v>HEPN1</v>
      </c>
      <c r="B7036" t="s">
        <v>4</v>
      </c>
    </row>
    <row r="7037" spans="1:2" x14ac:dyDescent="0.2">
      <c r="A7037" t="str">
        <f>"HERC1"</f>
        <v>HERC1</v>
      </c>
      <c r="B7037" t="s">
        <v>2</v>
      </c>
    </row>
    <row r="7038" spans="1:2" x14ac:dyDescent="0.2">
      <c r="A7038" t="str">
        <f>"HERC3"</f>
        <v>HERC3</v>
      </c>
      <c r="B7038" t="s">
        <v>2</v>
      </c>
    </row>
    <row r="7039" spans="1:2" x14ac:dyDescent="0.2">
      <c r="A7039" t="str">
        <f>"HERC4"</f>
        <v>HERC4</v>
      </c>
      <c r="B7039" t="s">
        <v>2</v>
      </c>
    </row>
    <row r="7040" spans="1:2" x14ac:dyDescent="0.2">
      <c r="A7040" t="str">
        <f>"HERC5"</f>
        <v>HERC5</v>
      </c>
      <c r="B7040" t="s">
        <v>2</v>
      </c>
    </row>
    <row r="7041" spans="1:2" x14ac:dyDescent="0.2">
      <c r="A7041" t="str">
        <f>"HERC6"</f>
        <v>HERC6</v>
      </c>
      <c r="B7041" t="s">
        <v>2</v>
      </c>
    </row>
    <row r="7042" spans="1:2" x14ac:dyDescent="0.2">
      <c r="A7042" t="str">
        <f>"HERPUD1"</f>
        <v>HERPUD1</v>
      </c>
      <c r="B7042" t="s">
        <v>2</v>
      </c>
    </row>
    <row r="7043" spans="1:2" x14ac:dyDescent="0.2">
      <c r="A7043" t="str">
        <f>"HERPUD2"</f>
        <v>HERPUD2</v>
      </c>
      <c r="B7043" t="s">
        <v>2</v>
      </c>
    </row>
    <row r="7044" spans="1:2" x14ac:dyDescent="0.2">
      <c r="A7044" t="str">
        <f>"HES1"</f>
        <v>HES1</v>
      </c>
      <c r="B7044" t="s">
        <v>2</v>
      </c>
    </row>
    <row r="7045" spans="1:2" x14ac:dyDescent="0.2">
      <c r="A7045" t="str">
        <f>"HES2"</f>
        <v>HES2</v>
      </c>
      <c r="B7045" t="s">
        <v>8</v>
      </c>
    </row>
    <row r="7046" spans="1:2" x14ac:dyDescent="0.2">
      <c r="A7046" t="str">
        <f>"HES3"</f>
        <v>HES3</v>
      </c>
      <c r="B7046" t="s">
        <v>8</v>
      </c>
    </row>
    <row r="7047" spans="1:2" x14ac:dyDescent="0.2">
      <c r="A7047" t="str">
        <f>"HES4"</f>
        <v>HES4</v>
      </c>
      <c r="B7047" t="s">
        <v>8</v>
      </c>
    </row>
    <row r="7048" spans="1:2" x14ac:dyDescent="0.2">
      <c r="A7048" t="str">
        <f>"HES5"</f>
        <v>HES5</v>
      </c>
      <c r="B7048" t="s">
        <v>8</v>
      </c>
    </row>
    <row r="7049" spans="1:2" x14ac:dyDescent="0.2">
      <c r="A7049" t="str">
        <f>"HES6"</f>
        <v>HES6</v>
      </c>
      <c r="B7049" t="s">
        <v>8</v>
      </c>
    </row>
    <row r="7050" spans="1:2" x14ac:dyDescent="0.2">
      <c r="A7050" t="str">
        <f>"HES7"</f>
        <v>HES7</v>
      </c>
      <c r="B7050" t="s">
        <v>8</v>
      </c>
    </row>
    <row r="7051" spans="1:2" x14ac:dyDescent="0.2">
      <c r="A7051" t="str">
        <f>"HESX1"</f>
        <v>HESX1</v>
      </c>
      <c r="B7051" t="s">
        <v>2</v>
      </c>
    </row>
    <row r="7052" spans="1:2" x14ac:dyDescent="0.2">
      <c r="A7052" t="str">
        <f>"HEXA"</f>
        <v>HEXA</v>
      </c>
      <c r="B7052" t="s">
        <v>2</v>
      </c>
    </row>
    <row r="7053" spans="1:2" x14ac:dyDescent="0.2">
      <c r="A7053" t="str">
        <f>"HEXB"</f>
        <v>HEXB</v>
      </c>
      <c r="B7053" t="s">
        <v>7</v>
      </c>
    </row>
    <row r="7054" spans="1:2" x14ac:dyDescent="0.2">
      <c r="A7054" t="str">
        <f>"HEXDC"</f>
        <v>HEXDC</v>
      </c>
      <c r="B7054" t="s">
        <v>4</v>
      </c>
    </row>
    <row r="7055" spans="1:2" x14ac:dyDescent="0.2">
      <c r="A7055" t="str">
        <f>"HEXIM1"</f>
        <v>HEXIM1</v>
      </c>
      <c r="B7055" t="s">
        <v>8</v>
      </c>
    </row>
    <row r="7056" spans="1:2" x14ac:dyDescent="0.2">
      <c r="A7056" t="str">
        <f>"HEXIM2"</f>
        <v>HEXIM2</v>
      </c>
      <c r="B7056" t="s">
        <v>8</v>
      </c>
    </row>
    <row r="7057" spans="1:2" x14ac:dyDescent="0.2">
      <c r="A7057" t="str">
        <f>"HEY1"</f>
        <v>HEY1</v>
      </c>
      <c r="B7057" t="s">
        <v>8</v>
      </c>
    </row>
    <row r="7058" spans="1:2" x14ac:dyDescent="0.2">
      <c r="A7058" t="str">
        <f>"HEY2"</f>
        <v>HEY2</v>
      </c>
      <c r="B7058" t="s">
        <v>6</v>
      </c>
    </row>
    <row r="7059" spans="1:2" x14ac:dyDescent="0.2">
      <c r="A7059" t="str">
        <f>"HEYL"</f>
        <v>HEYL</v>
      </c>
      <c r="B7059" t="s">
        <v>3</v>
      </c>
    </row>
    <row r="7060" spans="1:2" x14ac:dyDescent="0.2">
      <c r="A7060" t="str">
        <f>"HFE"</f>
        <v>HFE</v>
      </c>
      <c r="B7060" t="s">
        <v>2</v>
      </c>
    </row>
    <row r="7061" spans="1:2" x14ac:dyDescent="0.2">
      <c r="A7061" t="str">
        <f>"HFE2"</f>
        <v>HFE2</v>
      </c>
      <c r="B7061" t="s">
        <v>5</v>
      </c>
    </row>
    <row r="7062" spans="1:2" x14ac:dyDescent="0.2">
      <c r="A7062" t="str">
        <f>"HFM1"</f>
        <v>HFM1</v>
      </c>
      <c r="B7062" t="s">
        <v>2</v>
      </c>
    </row>
    <row r="7063" spans="1:2" x14ac:dyDescent="0.2">
      <c r="A7063" t="str">
        <f>"HGC6.3"</f>
        <v>HGC6.3</v>
      </c>
      <c r="B7063" t="s">
        <v>4</v>
      </c>
    </row>
    <row r="7064" spans="1:2" x14ac:dyDescent="0.2">
      <c r="A7064" t="str">
        <f>"HGD"</f>
        <v>HGD</v>
      </c>
      <c r="B7064" t="s">
        <v>2</v>
      </c>
    </row>
    <row r="7065" spans="1:2" x14ac:dyDescent="0.2">
      <c r="A7065" t="str">
        <f>"HGF"</f>
        <v>HGF</v>
      </c>
      <c r="B7065" t="s">
        <v>3</v>
      </c>
    </row>
    <row r="7066" spans="1:2" x14ac:dyDescent="0.2">
      <c r="A7066" t="str">
        <f>"HGFAC"</f>
        <v>HGFAC</v>
      </c>
      <c r="B7066" t="s">
        <v>2</v>
      </c>
    </row>
    <row r="7067" spans="1:2" x14ac:dyDescent="0.2">
      <c r="A7067" t="str">
        <f>"HGS"</f>
        <v>HGS</v>
      </c>
      <c r="B7067" t="s">
        <v>7</v>
      </c>
    </row>
    <row r="7068" spans="1:2" x14ac:dyDescent="0.2">
      <c r="A7068" t="str">
        <f>"HGSNAT"</f>
        <v>HGSNAT</v>
      </c>
      <c r="B7068" t="s">
        <v>2</v>
      </c>
    </row>
    <row r="7069" spans="1:2" x14ac:dyDescent="0.2">
      <c r="A7069" t="str">
        <f>"HHAT"</f>
        <v>HHAT</v>
      </c>
      <c r="B7069" t="s">
        <v>6</v>
      </c>
    </row>
    <row r="7070" spans="1:2" x14ac:dyDescent="0.2">
      <c r="A7070" t="str">
        <f>"HHATL"</f>
        <v>HHATL</v>
      </c>
      <c r="B7070" t="s">
        <v>5</v>
      </c>
    </row>
    <row r="7071" spans="1:2" x14ac:dyDescent="0.2">
      <c r="A7071" t="str">
        <f>"HHEX"</f>
        <v>HHEX</v>
      </c>
      <c r="B7071" t="s">
        <v>8</v>
      </c>
    </row>
    <row r="7072" spans="1:2" x14ac:dyDescent="0.2">
      <c r="A7072" t="str">
        <f>"HHIP"</f>
        <v>HHIP</v>
      </c>
      <c r="B7072" t="s">
        <v>5</v>
      </c>
    </row>
    <row r="7073" spans="1:2" x14ac:dyDescent="0.2">
      <c r="A7073" t="str">
        <f>"HHIPL1"</f>
        <v>HHIPL1</v>
      </c>
      <c r="B7073" t="s">
        <v>4</v>
      </c>
    </row>
    <row r="7074" spans="1:2" x14ac:dyDescent="0.2">
      <c r="A7074" t="str">
        <f>"HHIPL2"</f>
        <v>HHIPL2</v>
      </c>
      <c r="B7074" t="s">
        <v>6</v>
      </c>
    </row>
    <row r="7075" spans="1:2" x14ac:dyDescent="0.2">
      <c r="A7075" t="str">
        <f>"HHLA1"</f>
        <v>HHLA1</v>
      </c>
      <c r="B7075" t="s">
        <v>4</v>
      </c>
    </row>
    <row r="7076" spans="1:2" x14ac:dyDescent="0.2">
      <c r="A7076" t="str">
        <f>"HHLA2"</f>
        <v>HHLA2</v>
      </c>
      <c r="B7076" t="s">
        <v>5</v>
      </c>
    </row>
    <row r="7077" spans="1:2" x14ac:dyDescent="0.2">
      <c r="A7077" t="str">
        <f>"HHLA3"</f>
        <v>HHLA3</v>
      </c>
      <c r="B7077" t="s">
        <v>4</v>
      </c>
    </row>
    <row r="7078" spans="1:2" x14ac:dyDescent="0.2">
      <c r="A7078" t="str">
        <f>"HIAT1"</f>
        <v>HIAT1</v>
      </c>
      <c r="B7078" t="s">
        <v>6</v>
      </c>
    </row>
    <row r="7079" spans="1:2" x14ac:dyDescent="0.2">
      <c r="A7079" t="str">
        <f>"HIATL1"</f>
        <v>HIATL1</v>
      </c>
      <c r="B7079" t="s">
        <v>5</v>
      </c>
    </row>
    <row r="7080" spans="1:2" x14ac:dyDescent="0.2">
      <c r="A7080" t="str">
        <f>"HIBADH"</f>
        <v>HIBADH</v>
      </c>
      <c r="B7080" t="s">
        <v>7</v>
      </c>
    </row>
    <row r="7081" spans="1:2" x14ac:dyDescent="0.2">
      <c r="A7081" t="str">
        <f>"HIBCH"</f>
        <v>HIBCH</v>
      </c>
      <c r="B7081" t="s">
        <v>7</v>
      </c>
    </row>
    <row r="7082" spans="1:2" x14ac:dyDescent="0.2">
      <c r="A7082" t="str">
        <f>"HIC1"</f>
        <v>HIC1</v>
      </c>
      <c r="B7082" t="s">
        <v>3</v>
      </c>
    </row>
    <row r="7083" spans="1:2" x14ac:dyDescent="0.2">
      <c r="A7083" t="str">
        <f>"HIC2"</f>
        <v>HIC2</v>
      </c>
      <c r="B7083" t="s">
        <v>8</v>
      </c>
    </row>
    <row r="7084" spans="1:2" x14ac:dyDescent="0.2">
      <c r="A7084" t="str">
        <f>"HID1"</f>
        <v>HID1</v>
      </c>
      <c r="B7084" t="s">
        <v>4</v>
      </c>
    </row>
    <row r="7085" spans="1:2" x14ac:dyDescent="0.2">
      <c r="A7085" t="str">
        <f>"HIF1A"</f>
        <v>HIF1A</v>
      </c>
      <c r="B7085" t="s">
        <v>2</v>
      </c>
    </row>
    <row r="7086" spans="1:2" x14ac:dyDescent="0.2">
      <c r="A7086" t="str">
        <f>"HIF1AN"</f>
        <v>HIF1AN</v>
      </c>
      <c r="B7086" t="s">
        <v>7</v>
      </c>
    </row>
    <row r="7087" spans="1:2" x14ac:dyDescent="0.2">
      <c r="A7087" t="str">
        <f>"HIF3A"</f>
        <v>HIF3A</v>
      </c>
      <c r="B7087" t="s">
        <v>8</v>
      </c>
    </row>
    <row r="7088" spans="1:2" x14ac:dyDescent="0.2">
      <c r="A7088" t="str">
        <f>"HIGD1A"</f>
        <v>HIGD1A</v>
      </c>
      <c r="B7088" t="s">
        <v>2</v>
      </c>
    </row>
    <row r="7089" spans="1:2" x14ac:dyDescent="0.2">
      <c r="A7089" t="str">
        <f>"HIGD1B"</f>
        <v>HIGD1B</v>
      </c>
      <c r="B7089" t="s">
        <v>5</v>
      </c>
    </row>
    <row r="7090" spans="1:2" x14ac:dyDescent="0.2">
      <c r="A7090" t="str">
        <f>"HIGD1C"</f>
        <v>HIGD1C</v>
      </c>
      <c r="B7090" t="s">
        <v>5</v>
      </c>
    </row>
    <row r="7091" spans="1:2" x14ac:dyDescent="0.2">
      <c r="A7091" t="str">
        <f>"HIGD2A"</f>
        <v>HIGD2A</v>
      </c>
      <c r="B7091" t="s">
        <v>6</v>
      </c>
    </row>
    <row r="7092" spans="1:2" x14ac:dyDescent="0.2">
      <c r="A7092" t="str">
        <f>"HILPDA"</f>
        <v>HILPDA</v>
      </c>
      <c r="B7092" t="s">
        <v>2</v>
      </c>
    </row>
    <row r="7093" spans="1:2" x14ac:dyDescent="0.2">
      <c r="A7093" t="str">
        <f>"HINFP"</f>
        <v>HINFP</v>
      </c>
      <c r="B7093" t="s">
        <v>8</v>
      </c>
    </row>
    <row r="7094" spans="1:2" x14ac:dyDescent="0.2">
      <c r="A7094" t="str">
        <f>"HINT1"</f>
        <v>HINT1</v>
      </c>
      <c r="B7094" t="s">
        <v>7</v>
      </c>
    </row>
    <row r="7095" spans="1:2" x14ac:dyDescent="0.2">
      <c r="A7095" t="str">
        <f>"HINT2"</f>
        <v>HINT2</v>
      </c>
      <c r="B7095" t="s">
        <v>6</v>
      </c>
    </row>
    <row r="7096" spans="1:2" x14ac:dyDescent="0.2">
      <c r="A7096" t="str">
        <f>"HINT3"</f>
        <v>HINT3</v>
      </c>
      <c r="B7096" t="s">
        <v>6</v>
      </c>
    </row>
    <row r="7097" spans="1:2" x14ac:dyDescent="0.2">
      <c r="A7097" t="str">
        <f>"HIP1"</f>
        <v>HIP1</v>
      </c>
      <c r="B7097" t="s">
        <v>3</v>
      </c>
    </row>
    <row r="7098" spans="1:2" x14ac:dyDescent="0.2">
      <c r="A7098" t="str">
        <f>"HIP1R"</f>
        <v>HIP1R</v>
      </c>
      <c r="B7098" t="s">
        <v>6</v>
      </c>
    </row>
    <row r="7099" spans="1:2" x14ac:dyDescent="0.2">
      <c r="A7099" t="str">
        <f>"HIPK1"</f>
        <v>HIPK1</v>
      </c>
      <c r="B7099" t="s">
        <v>7</v>
      </c>
    </row>
    <row r="7100" spans="1:2" x14ac:dyDescent="0.2">
      <c r="A7100" t="str">
        <f>"HIPK2"</f>
        <v>HIPK2</v>
      </c>
      <c r="B7100" t="s">
        <v>7</v>
      </c>
    </row>
    <row r="7101" spans="1:2" x14ac:dyDescent="0.2">
      <c r="A7101" t="str">
        <f>"HIPK3"</f>
        <v>HIPK3</v>
      </c>
      <c r="B7101" t="s">
        <v>7</v>
      </c>
    </row>
    <row r="7102" spans="1:2" x14ac:dyDescent="0.2">
      <c r="A7102" t="str">
        <f>"HIPK4"</f>
        <v>HIPK4</v>
      </c>
      <c r="B7102" t="s">
        <v>7</v>
      </c>
    </row>
    <row r="7103" spans="1:2" x14ac:dyDescent="0.2">
      <c r="A7103" t="str">
        <f>"HIRA"</f>
        <v>HIRA</v>
      </c>
      <c r="B7103" t="s">
        <v>3</v>
      </c>
    </row>
    <row r="7104" spans="1:2" x14ac:dyDescent="0.2">
      <c r="A7104" t="str">
        <f>"HIRIP3"</f>
        <v>HIRIP3</v>
      </c>
      <c r="B7104" t="s">
        <v>8</v>
      </c>
    </row>
    <row r="7105" spans="1:2" x14ac:dyDescent="0.2">
      <c r="A7105" t="str">
        <f>"HIST1H1A"</f>
        <v>HIST1H1A</v>
      </c>
      <c r="B7105" t="s">
        <v>8</v>
      </c>
    </row>
    <row r="7106" spans="1:2" x14ac:dyDescent="0.2">
      <c r="A7106" t="str">
        <f>"HIST1H1B"</f>
        <v>HIST1H1B</v>
      </c>
      <c r="B7106" t="s">
        <v>8</v>
      </c>
    </row>
    <row r="7107" spans="1:2" x14ac:dyDescent="0.2">
      <c r="A7107" t="str">
        <f>"HIST1H1C"</f>
        <v>HIST1H1C</v>
      </c>
      <c r="B7107" t="s">
        <v>8</v>
      </c>
    </row>
    <row r="7108" spans="1:2" x14ac:dyDescent="0.2">
      <c r="A7108" t="str">
        <f>"HIST1H1D"</f>
        <v>HIST1H1D</v>
      </c>
      <c r="B7108" t="s">
        <v>2</v>
      </c>
    </row>
    <row r="7109" spans="1:2" x14ac:dyDescent="0.2">
      <c r="A7109" t="str">
        <f>"HIST1H1E"</f>
        <v>HIST1H1E</v>
      </c>
      <c r="B7109" t="s">
        <v>8</v>
      </c>
    </row>
    <row r="7110" spans="1:2" x14ac:dyDescent="0.2">
      <c r="A7110" t="str">
        <f>"HIST1H1T"</f>
        <v>HIST1H1T</v>
      </c>
      <c r="B7110" t="s">
        <v>8</v>
      </c>
    </row>
    <row r="7111" spans="1:2" x14ac:dyDescent="0.2">
      <c r="A7111" t="str">
        <f>"HIST1H2AA"</f>
        <v>HIST1H2AA</v>
      </c>
      <c r="B7111" t="s">
        <v>2</v>
      </c>
    </row>
    <row r="7112" spans="1:2" x14ac:dyDescent="0.2">
      <c r="A7112" t="str">
        <f>"HIST1H2AB"</f>
        <v>HIST1H2AB</v>
      </c>
      <c r="B7112" t="s">
        <v>2</v>
      </c>
    </row>
    <row r="7113" spans="1:2" x14ac:dyDescent="0.2">
      <c r="A7113" t="str">
        <f>"HIST1H2AC"</f>
        <v>HIST1H2AC</v>
      </c>
      <c r="B7113" t="s">
        <v>2</v>
      </c>
    </row>
    <row r="7114" spans="1:2" x14ac:dyDescent="0.2">
      <c r="A7114" t="str">
        <f>"HIST1H2AD"</f>
        <v>HIST1H2AD</v>
      </c>
      <c r="B7114" t="s">
        <v>2</v>
      </c>
    </row>
    <row r="7115" spans="1:2" x14ac:dyDescent="0.2">
      <c r="A7115" t="str">
        <f>"HIST1H2AE"</f>
        <v>HIST1H2AE</v>
      </c>
      <c r="B7115" t="s">
        <v>2</v>
      </c>
    </row>
    <row r="7116" spans="1:2" x14ac:dyDescent="0.2">
      <c r="A7116" t="str">
        <f>"HIST1H2AG"</f>
        <v>HIST1H2AG</v>
      </c>
      <c r="B7116" t="s">
        <v>2</v>
      </c>
    </row>
    <row r="7117" spans="1:2" x14ac:dyDescent="0.2">
      <c r="A7117" t="str">
        <f>"HIST1H2AH"</f>
        <v>HIST1H2AH</v>
      </c>
      <c r="B7117" t="s">
        <v>2</v>
      </c>
    </row>
    <row r="7118" spans="1:2" x14ac:dyDescent="0.2">
      <c r="A7118" t="str">
        <f>"HIST1H2AI"</f>
        <v>HIST1H2AI</v>
      </c>
      <c r="B7118" t="s">
        <v>2</v>
      </c>
    </row>
    <row r="7119" spans="1:2" x14ac:dyDescent="0.2">
      <c r="A7119" t="str">
        <f>"HIST1H2AJ"</f>
        <v>HIST1H2AJ</v>
      </c>
      <c r="B7119" t="s">
        <v>4</v>
      </c>
    </row>
    <row r="7120" spans="1:2" x14ac:dyDescent="0.2">
      <c r="A7120" t="str">
        <f>"HIST1H2AK"</f>
        <v>HIST1H2AK</v>
      </c>
      <c r="B7120" t="s">
        <v>2</v>
      </c>
    </row>
    <row r="7121" spans="1:2" x14ac:dyDescent="0.2">
      <c r="A7121" t="str">
        <f>"HIST1H2AL"</f>
        <v>HIST1H2AL</v>
      </c>
      <c r="B7121" t="s">
        <v>8</v>
      </c>
    </row>
    <row r="7122" spans="1:2" x14ac:dyDescent="0.2">
      <c r="A7122" t="str">
        <f>"HIST1H2AM"</f>
        <v>HIST1H2AM</v>
      </c>
      <c r="B7122" t="s">
        <v>8</v>
      </c>
    </row>
    <row r="7123" spans="1:2" x14ac:dyDescent="0.2">
      <c r="A7123" t="str">
        <f>"HIST1H2BA"</f>
        <v>HIST1H2BA</v>
      </c>
      <c r="B7123" t="s">
        <v>2</v>
      </c>
    </row>
    <row r="7124" spans="1:2" x14ac:dyDescent="0.2">
      <c r="A7124" t="str">
        <f>"HIST1H2BB"</f>
        <v>HIST1H2BB</v>
      </c>
      <c r="B7124" t="s">
        <v>2</v>
      </c>
    </row>
    <row r="7125" spans="1:2" x14ac:dyDescent="0.2">
      <c r="A7125" t="str">
        <f>"HIST1H2BC"</f>
        <v>HIST1H2BC</v>
      </c>
      <c r="B7125" t="s">
        <v>2</v>
      </c>
    </row>
    <row r="7126" spans="1:2" x14ac:dyDescent="0.2">
      <c r="A7126" t="str">
        <f>"HIST1H2BD"</f>
        <v>HIST1H2BD</v>
      </c>
      <c r="B7126" t="s">
        <v>8</v>
      </c>
    </row>
    <row r="7127" spans="1:2" x14ac:dyDescent="0.2">
      <c r="A7127" t="str">
        <f>"HIST1H2BE"</f>
        <v>HIST1H2BE</v>
      </c>
      <c r="B7127" t="s">
        <v>2</v>
      </c>
    </row>
    <row r="7128" spans="1:2" x14ac:dyDescent="0.2">
      <c r="A7128" t="str">
        <f>"HIST1H2BF"</f>
        <v>HIST1H2BF</v>
      </c>
      <c r="B7128" t="s">
        <v>2</v>
      </c>
    </row>
    <row r="7129" spans="1:2" x14ac:dyDescent="0.2">
      <c r="A7129" t="str">
        <f>"HIST1H2BG"</f>
        <v>HIST1H2BG</v>
      </c>
      <c r="B7129" t="s">
        <v>2</v>
      </c>
    </row>
    <row r="7130" spans="1:2" x14ac:dyDescent="0.2">
      <c r="A7130" t="str">
        <f>"HIST1H2BH"</f>
        <v>HIST1H2BH</v>
      </c>
      <c r="B7130" t="s">
        <v>2</v>
      </c>
    </row>
    <row r="7131" spans="1:2" x14ac:dyDescent="0.2">
      <c r="A7131" t="str">
        <f>"HIST1H2BI"</f>
        <v>HIST1H2BI</v>
      </c>
      <c r="B7131" t="s">
        <v>8</v>
      </c>
    </row>
    <row r="7132" spans="1:2" x14ac:dyDescent="0.2">
      <c r="A7132" t="str">
        <f>"HIST1H2BJ"</f>
        <v>HIST1H2BJ</v>
      </c>
      <c r="B7132" t="s">
        <v>2</v>
      </c>
    </row>
    <row r="7133" spans="1:2" x14ac:dyDescent="0.2">
      <c r="A7133" t="str">
        <f>"HIST1H2BK"</f>
        <v>HIST1H2BK</v>
      </c>
      <c r="B7133" t="s">
        <v>2</v>
      </c>
    </row>
    <row r="7134" spans="1:2" x14ac:dyDescent="0.2">
      <c r="A7134" t="str">
        <f>"HIST1H2BL"</f>
        <v>HIST1H2BL</v>
      </c>
      <c r="B7134" t="s">
        <v>2</v>
      </c>
    </row>
    <row r="7135" spans="1:2" x14ac:dyDescent="0.2">
      <c r="A7135" t="str">
        <f>"HIST1H2BM"</f>
        <v>HIST1H2BM</v>
      </c>
      <c r="B7135" t="s">
        <v>2</v>
      </c>
    </row>
    <row r="7136" spans="1:2" x14ac:dyDescent="0.2">
      <c r="A7136" t="str">
        <f>"HIST1H2BN"</f>
        <v>HIST1H2BN</v>
      </c>
      <c r="B7136" t="s">
        <v>2</v>
      </c>
    </row>
    <row r="7137" spans="1:2" x14ac:dyDescent="0.2">
      <c r="A7137" t="str">
        <f>"HIST1H2BO"</f>
        <v>HIST1H2BO</v>
      </c>
      <c r="B7137" t="s">
        <v>8</v>
      </c>
    </row>
    <row r="7138" spans="1:2" x14ac:dyDescent="0.2">
      <c r="A7138" t="str">
        <f>"HIST1H3A"</f>
        <v>HIST1H3A</v>
      </c>
      <c r="B7138" t="s">
        <v>8</v>
      </c>
    </row>
    <row r="7139" spans="1:2" x14ac:dyDescent="0.2">
      <c r="A7139" t="str">
        <f>"HIST1H3B"</f>
        <v>HIST1H3B</v>
      </c>
      <c r="B7139" t="s">
        <v>2</v>
      </c>
    </row>
    <row r="7140" spans="1:2" x14ac:dyDescent="0.2">
      <c r="A7140" t="str">
        <f>"HIST1H3C"</f>
        <v>HIST1H3C</v>
      </c>
      <c r="B7140" t="s">
        <v>2</v>
      </c>
    </row>
    <row r="7141" spans="1:2" x14ac:dyDescent="0.2">
      <c r="A7141" t="str">
        <f>"HIST1H3D"</f>
        <v>HIST1H3D</v>
      </c>
      <c r="B7141" t="s">
        <v>2</v>
      </c>
    </row>
    <row r="7142" spans="1:2" x14ac:dyDescent="0.2">
      <c r="A7142" t="str">
        <f>"HIST1H3E"</f>
        <v>HIST1H3E</v>
      </c>
      <c r="B7142" t="s">
        <v>8</v>
      </c>
    </row>
    <row r="7143" spans="1:2" x14ac:dyDescent="0.2">
      <c r="A7143" t="str">
        <f>"HIST1H3F"</f>
        <v>HIST1H3F</v>
      </c>
      <c r="B7143" t="s">
        <v>2</v>
      </c>
    </row>
    <row r="7144" spans="1:2" x14ac:dyDescent="0.2">
      <c r="A7144" t="str">
        <f>"HIST1H3G"</f>
        <v>HIST1H3G</v>
      </c>
      <c r="B7144" t="s">
        <v>2</v>
      </c>
    </row>
    <row r="7145" spans="1:2" x14ac:dyDescent="0.2">
      <c r="A7145" t="str">
        <f>"HIST1H3H"</f>
        <v>HIST1H3H</v>
      </c>
      <c r="B7145" t="s">
        <v>2</v>
      </c>
    </row>
    <row r="7146" spans="1:2" x14ac:dyDescent="0.2">
      <c r="A7146" t="str">
        <f>"HIST1H3I"</f>
        <v>HIST1H3I</v>
      </c>
      <c r="B7146" t="s">
        <v>8</v>
      </c>
    </row>
    <row r="7147" spans="1:2" x14ac:dyDescent="0.2">
      <c r="A7147" t="str">
        <f>"HIST1H3J"</f>
        <v>HIST1H3J</v>
      </c>
      <c r="B7147" t="s">
        <v>8</v>
      </c>
    </row>
    <row r="7148" spans="1:2" x14ac:dyDescent="0.2">
      <c r="A7148" t="str">
        <f>"HIST1H4A"</f>
        <v>HIST1H4A</v>
      </c>
      <c r="B7148" t="s">
        <v>8</v>
      </c>
    </row>
    <row r="7149" spans="1:2" x14ac:dyDescent="0.2">
      <c r="A7149" t="str">
        <f>"HIST1H4B"</f>
        <v>HIST1H4B</v>
      </c>
      <c r="B7149" t="s">
        <v>8</v>
      </c>
    </row>
    <row r="7150" spans="1:2" x14ac:dyDescent="0.2">
      <c r="A7150" t="str">
        <f>"HIST1H4C"</f>
        <v>HIST1H4C</v>
      </c>
      <c r="B7150" t="s">
        <v>8</v>
      </c>
    </row>
    <row r="7151" spans="1:2" x14ac:dyDescent="0.2">
      <c r="A7151" t="str">
        <f>"HIST1H4D"</f>
        <v>HIST1H4D</v>
      </c>
      <c r="B7151" t="s">
        <v>8</v>
      </c>
    </row>
    <row r="7152" spans="1:2" x14ac:dyDescent="0.2">
      <c r="A7152" t="str">
        <f>"HIST1H4E"</f>
        <v>HIST1H4E</v>
      </c>
      <c r="B7152" t="s">
        <v>8</v>
      </c>
    </row>
    <row r="7153" spans="1:2" x14ac:dyDescent="0.2">
      <c r="A7153" t="str">
        <f>"HIST1H4F"</f>
        <v>HIST1H4F</v>
      </c>
      <c r="B7153" t="s">
        <v>8</v>
      </c>
    </row>
    <row r="7154" spans="1:2" x14ac:dyDescent="0.2">
      <c r="A7154" t="str">
        <f>"HIST1H4G"</f>
        <v>HIST1H4G</v>
      </c>
      <c r="B7154" t="s">
        <v>8</v>
      </c>
    </row>
    <row r="7155" spans="1:2" x14ac:dyDescent="0.2">
      <c r="A7155" t="str">
        <f>"HIST1H4H"</f>
        <v>HIST1H4H</v>
      </c>
      <c r="B7155" t="s">
        <v>8</v>
      </c>
    </row>
    <row r="7156" spans="1:2" x14ac:dyDescent="0.2">
      <c r="A7156" t="str">
        <f>"HIST1H4I"</f>
        <v>HIST1H4I</v>
      </c>
      <c r="B7156" t="s">
        <v>3</v>
      </c>
    </row>
    <row r="7157" spans="1:2" x14ac:dyDescent="0.2">
      <c r="A7157" t="str">
        <f>"HIST1H4J"</f>
        <v>HIST1H4J</v>
      </c>
      <c r="B7157" t="s">
        <v>8</v>
      </c>
    </row>
    <row r="7158" spans="1:2" x14ac:dyDescent="0.2">
      <c r="A7158" t="str">
        <f>"HIST1H4K"</f>
        <v>HIST1H4K</v>
      </c>
      <c r="B7158" t="s">
        <v>8</v>
      </c>
    </row>
    <row r="7159" spans="1:2" x14ac:dyDescent="0.2">
      <c r="A7159" t="str">
        <f>"HIST1H4L"</f>
        <v>HIST1H4L</v>
      </c>
      <c r="B7159" t="s">
        <v>8</v>
      </c>
    </row>
    <row r="7160" spans="1:2" x14ac:dyDescent="0.2">
      <c r="A7160" t="str">
        <f>"HIST2H2AA3"</f>
        <v>HIST2H2AA3</v>
      </c>
      <c r="B7160" t="s">
        <v>8</v>
      </c>
    </row>
    <row r="7161" spans="1:2" x14ac:dyDescent="0.2">
      <c r="A7161" t="str">
        <f>"HIST2H2AA4"</f>
        <v>HIST2H2AA4</v>
      </c>
      <c r="B7161" t="s">
        <v>8</v>
      </c>
    </row>
    <row r="7162" spans="1:2" x14ac:dyDescent="0.2">
      <c r="A7162" t="str">
        <f>"HIST2H2AB"</f>
        <v>HIST2H2AB</v>
      </c>
      <c r="B7162" t="s">
        <v>2</v>
      </c>
    </row>
    <row r="7163" spans="1:2" x14ac:dyDescent="0.2">
      <c r="A7163" t="str">
        <f>"HIST2H2AC"</f>
        <v>HIST2H2AC</v>
      </c>
      <c r="B7163" t="s">
        <v>2</v>
      </c>
    </row>
    <row r="7164" spans="1:2" x14ac:dyDescent="0.2">
      <c r="A7164" t="str">
        <f>"HIST2H2BE"</f>
        <v>HIST2H2BE</v>
      </c>
      <c r="B7164" t="s">
        <v>2</v>
      </c>
    </row>
    <row r="7165" spans="1:2" x14ac:dyDescent="0.2">
      <c r="A7165" t="str">
        <f>"HIST2H2BF"</f>
        <v>HIST2H2BF</v>
      </c>
      <c r="B7165" t="s">
        <v>2</v>
      </c>
    </row>
    <row r="7166" spans="1:2" x14ac:dyDescent="0.2">
      <c r="A7166" t="str">
        <f>"HIST2H3A"</f>
        <v>HIST2H3A</v>
      </c>
      <c r="B7166" t="s">
        <v>8</v>
      </c>
    </row>
    <row r="7167" spans="1:2" x14ac:dyDescent="0.2">
      <c r="A7167" t="str">
        <f>"HIST2H3C"</f>
        <v>HIST2H3C</v>
      </c>
      <c r="B7167" t="s">
        <v>2</v>
      </c>
    </row>
    <row r="7168" spans="1:2" x14ac:dyDescent="0.2">
      <c r="A7168" t="str">
        <f>"HIST2H3D"</f>
        <v>HIST2H3D</v>
      </c>
      <c r="B7168" t="s">
        <v>8</v>
      </c>
    </row>
    <row r="7169" spans="1:2" x14ac:dyDescent="0.2">
      <c r="A7169" t="str">
        <f>"HIST2H4A"</f>
        <v>HIST2H4A</v>
      </c>
      <c r="B7169" t="s">
        <v>2</v>
      </c>
    </row>
    <row r="7170" spans="1:2" x14ac:dyDescent="0.2">
      <c r="A7170" t="str">
        <f>"HIST2H4B"</f>
        <v>HIST2H4B</v>
      </c>
      <c r="B7170" t="s">
        <v>8</v>
      </c>
    </row>
    <row r="7171" spans="1:2" x14ac:dyDescent="0.2">
      <c r="A7171" t="str">
        <f>"HIST3H2A"</f>
        <v>HIST3H2A</v>
      </c>
      <c r="B7171" t="s">
        <v>8</v>
      </c>
    </row>
    <row r="7172" spans="1:2" x14ac:dyDescent="0.2">
      <c r="A7172" t="str">
        <f>"HIST3H2BB"</f>
        <v>HIST3H2BB</v>
      </c>
      <c r="B7172" t="s">
        <v>8</v>
      </c>
    </row>
    <row r="7173" spans="1:2" x14ac:dyDescent="0.2">
      <c r="A7173" t="str">
        <f>"HIST3H3"</f>
        <v>HIST3H3</v>
      </c>
      <c r="B7173" t="s">
        <v>8</v>
      </c>
    </row>
    <row r="7174" spans="1:2" x14ac:dyDescent="0.2">
      <c r="A7174" t="str">
        <f>"HIST4H4"</f>
        <v>HIST4H4</v>
      </c>
      <c r="B7174" t="s">
        <v>8</v>
      </c>
    </row>
    <row r="7175" spans="1:2" x14ac:dyDescent="0.2">
      <c r="A7175" t="str">
        <f>"HIVEP1"</f>
        <v>HIVEP1</v>
      </c>
      <c r="B7175" t="s">
        <v>8</v>
      </c>
    </row>
    <row r="7176" spans="1:2" x14ac:dyDescent="0.2">
      <c r="A7176" t="str">
        <f>"HIVEP2"</f>
        <v>HIVEP2</v>
      </c>
      <c r="B7176" t="s">
        <v>8</v>
      </c>
    </row>
    <row r="7177" spans="1:2" x14ac:dyDescent="0.2">
      <c r="A7177" t="str">
        <f>"HIVEP3"</f>
        <v>HIVEP3</v>
      </c>
      <c r="B7177" t="s">
        <v>8</v>
      </c>
    </row>
    <row r="7178" spans="1:2" x14ac:dyDescent="0.2">
      <c r="A7178" t="str">
        <f>"HJURP"</f>
        <v>HJURP</v>
      </c>
      <c r="B7178" t="s">
        <v>4</v>
      </c>
    </row>
    <row r="7179" spans="1:2" x14ac:dyDescent="0.2">
      <c r="A7179" t="str">
        <f>"HK1"</f>
        <v>HK1</v>
      </c>
      <c r="B7179" t="s">
        <v>7</v>
      </c>
    </row>
    <row r="7180" spans="1:2" x14ac:dyDescent="0.2">
      <c r="A7180" t="str">
        <f>"HK2"</f>
        <v>HK2</v>
      </c>
      <c r="B7180" t="s">
        <v>7</v>
      </c>
    </row>
    <row r="7181" spans="1:2" x14ac:dyDescent="0.2">
      <c r="A7181" t="str">
        <f>"HK3"</f>
        <v>HK3</v>
      </c>
      <c r="B7181" t="s">
        <v>7</v>
      </c>
    </row>
    <row r="7182" spans="1:2" x14ac:dyDescent="0.2">
      <c r="A7182" t="str">
        <f>"HKDC1"</f>
        <v>HKDC1</v>
      </c>
      <c r="B7182" t="s">
        <v>6</v>
      </c>
    </row>
    <row r="7183" spans="1:2" x14ac:dyDescent="0.2">
      <c r="A7183" t="str">
        <f>"HKR1"</f>
        <v>HKR1</v>
      </c>
      <c r="B7183" t="s">
        <v>8</v>
      </c>
    </row>
    <row r="7184" spans="1:2" x14ac:dyDescent="0.2">
      <c r="A7184" t="str">
        <f>"HLA-A"</f>
        <v>HLA-A</v>
      </c>
      <c r="B7184" t="s">
        <v>7</v>
      </c>
    </row>
    <row r="7185" spans="1:2" x14ac:dyDescent="0.2">
      <c r="A7185" t="str">
        <f>"HLA-B"</f>
        <v>HLA-B</v>
      </c>
      <c r="B7185" t="s">
        <v>7</v>
      </c>
    </row>
    <row r="7186" spans="1:2" x14ac:dyDescent="0.2">
      <c r="A7186" t="str">
        <f>"HLA-C"</f>
        <v>HLA-C</v>
      </c>
      <c r="B7186" t="s">
        <v>2</v>
      </c>
    </row>
    <row r="7187" spans="1:2" x14ac:dyDescent="0.2">
      <c r="A7187" t="str">
        <f>"HLA-DMA"</f>
        <v>HLA-DMA</v>
      </c>
      <c r="B7187" t="s">
        <v>2</v>
      </c>
    </row>
    <row r="7188" spans="1:2" x14ac:dyDescent="0.2">
      <c r="A7188" t="str">
        <f>"HLA-DMB"</f>
        <v>HLA-DMB</v>
      </c>
      <c r="B7188" t="s">
        <v>2</v>
      </c>
    </row>
    <row r="7189" spans="1:2" x14ac:dyDescent="0.2">
      <c r="A7189" t="str">
        <f>"HLA-DOA"</f>
        <v>HLA-DOA</v>
      </c>
      <c r="B7189" t="s">
        <v>5</v>
      </c>
    </row>
    <row r="7190" spans="1:2" x14ac:dyDescent="0.2">
      <c r="A7190" t="str">
        <f>"HLA-DOB"</f>
        <v>HLA-DOB</v>
      </c>
      <c r="B7190" t="s">
        <v>2</v>
      </c>
    </row>
    <row r="7191" spans="1:2" x14ac:dyDescent="0.2">
      <c r="A7191" t="str">
        <f>"HLA-DPA1"</f>
        <v>HLA-DPA1</v>
      </c>
      <c r="B7191" t="s">
        <v>5</v>
      </c>
    </row>
    <row r="7192" spans="1:2" x14ac:dyDescent="0.2">
      <c r="A7192" t="str">
        <f>"HLA-DPB1"</f>
        <v>HLA-DPB1</v>
      </c>
      <c r="B7192" t="s">
        <v>5</v>
      </c>
    </row>
    <row r="7193" spans="1:2" x14ac:dyDescent="0.2">
      <c r="A7193" t="str">
        <f>"HLA-DQA1"</f>
        <v>HLA-DQA1</v>
      </c>
      <c r="B7193" t="s">
        <v>3</v>
      </c>
    </row>
    <row r="7194" spans="1:2" x14ac:dyDescent="0.2">
      <c r="A7194" t="str">
        <f>"HLA-DQA2"</f>
        <v>HLA-DQA2</v>
      </c>
      <c r="B7194" t="s">
        <v>7</v>
      </c>
    </row>
    <row r="7195" spans="1:2" x14ac:dyDescent="0.2">
      <c r="A7195" t="str">
        <f>"HLA-DQB1"</f>
        <v>HLA-DQB1</v>
      </c>
      <c r="B7195" t="s">
        <v>7</v>
      </c>
    </row>
    <row r="7196" spans="1:2" x14ac:dyDescent="0.2">
      <c r="A7196" t="str">
        <f>"HLA-DQB2"</f>
        <v>HLA-DQB2</v>
      </c>
      <c r="B7196" t="s">
        <v>6</v>
      </c>
    </row>
    <row r="7197" spans="1:2" x14ac:dyDescent="0.2">
      <c r="A7197" t="str">
        <f>"HLA-DRA"</f>
        <v>HLA-DRA</v>
      </c>
      <c r="B7197" t="s">
        <v>3</v>
      </c>
    </row>
    <row r="7198" spans="1:2" x14ac:dyDescent="0.2">
      <c r="A7198" t="str">
        <f>"HLA-DRB1"</f>
        <v>HLA-DRB1</v>
      </c>
      <c r="B7198" t="s">
        <v>7</v>
      </c>
    </row>
    <row r="7199" spans="1:2" x14ac:dyDescent="0.2">
      <c r="A7199" t="str">
        <f>"HLA-DRB5"</f>
        <v>HLA-DRB5</v>
      </c>
      <c r="B7199" t="s">
        <v>8</v>
      </c>
    </row>
    <row r="7200" spans="1:2" x14ac:dyDescent="0.2">
      <c r="A7200" t="str">
        <f>"HLA-E"</f>
        <v>HLA-E</v>
      </c>
      <c r="B7200" t="s">
        <v>5</v>
      </c>
    </row>
    <row r="7201" spans="1:2" x14ac:dyDescent="0.2">
      <c r="A7201" t="str">
        <f>"HLA-F"</f>
        <v>HLA-F</v>
      </c>
      <c r="B7201" t="s">
        <v>3</v>
      </c>
    </row>
    <row r="7202" spans="1:2" x14ac:dyDescent="0.2">
      <c r="A7202" t="str">
        <f>"HLA-G"</f>
        <v>HLA-G</v>
      </c>
      <c r="B7202" t="s">
        <v>3</v>
      </c>
    </row>
    <row r="7203" spans="1:2" x14ac:dyDescent="0.2">
      <c r="A7203" t="str">
        <f>"HLCS"</f>
        <v>HLCS</v>
      </c>
      <c r="B7203" t="s">
        <v>7</v>
      </c>
    </row>
    <row r="7204" spans="1:2" x14ac:dyDescent="0.2">
      <c r="A7204" t="str">
        <f>"HLF"</f>
        <v>HLF</v>
      </c>
      <c r="B7204" t="s">
        <v>3</v>
      </c>
    </row>
    <row r="7205" spans="1:2" x14ac:dyDescent="0.2">
      <c r="A7205" t="str">
        <f>"HLTF"</f>
        <v>HLTF</v>
      </c>
      <c r="B7205" t="s">
        <v>2</v>
      </c>
    </row>
    <row r="7206" spans="1:2" x14ac:dyDescent="0.2">
      <c r="A7206" t="str">
        <f>"HLX"</f>
        <v>HLX</v>
      </c>
      <c r="B7206" t="s">
        <v>8</v>
      </c>
    </row>
    <row r="7207" spans="1:2" x14ac:dyDescent="0.2">
      <c r="A7207" t="str">
        <f>"HM13"</f>
        <v>HM13</v>
      </c>
      <c r="B7207" t="s">
        <v>2</v>
      </c>
    </row>
    <row r="7208" spans="1:2" x14ac:dyDescent="0.2">
      <c r="A7208" t="str">
        <f>"HMBOX1"</f>
        <v>HMBOX1</v>
      </c>
      <c r="B7208" t="s">
        <v>2</v>
      </c>
    </row>
    <row r="7209" spans="1:2" x14ac:dyDescent="0.2">
      <c r="A7209" t="str">
        <f>"HMBS"</f>
        <v>HMBS</v>
      </c>
      <c r="B7209" t="s">
        <v>3</v>
      </c>
    </row>
    <row r="7210" spans="1:2" x14ac:dyDescent="0.2">
      <c r="A7210" t="str">
        <f>"HMCES"</f>
        <v>HMCES</v>
      </c>
      <c r="B7210" t="s">
        <v>4</v>
      </c>
    </row>
    <row r="7211" spans="1:2" x14ac:dyDescent="0.2">
      <c r="A7211" t="str">
        <f>"HMCN1"</f>
        <v>HMCN1</v>
      </c>
      <c r="B7211" t="s">
        <v>4</v>
      </c>
    </row>
    <row r="7212" spans="1:2" x14ac:dyDescent="0.2">
      <c r="A7212" t="str">
        <f>"HMCN2"</f>
        <v>HMCN2</v>
      </c>
      <c r="B7212" t="s">
        <v>4</v>
      </c>
    </row>
    <row r="7213" spans="1:2" x14ac:dyDescent="0.2">
      <c r="A7213" t="str">
        <f>"HMG20A"</f>
        <v>HMG20A</v>
      </c>
      <c r="B7213" t="s">
        <v>8</v>
      </c>
    </row>
    <row r="7214" spans="1:2" x14ac:dyDescent="0.2">
      <c r="A7214" t="str">
        <f>"HMG20B"</f>
        <v>HMG20B</v>
      </c>
      <c r="B7214" t="s">
        <v>3</v>
      </c>
    </row>
    <row r="7215" spans="1:2" x14ac:dyDescent="0.2">
      <c r="A7215" t="str">
        <f>"HMGA1"</f>
        <v>HMGA1</v>
      </c>
      <c r="B7215" t="s">
        <v>3</v>
      </c>
    </row>
    <row r="7216" spans="1:2" x14ac:dyDescent="0.2">
      <c r="A7216" t="str">
        <f>"HMGA2"</f>
        <v>HMGA2</v>
      </c>
      <c r="B7216" t="s">
        <v>3</v>
      </c>
    </row>
    <row r="7217" spans="1:2" x14ac:dyDescent="0.2">
      <c r="A7217" t="str">
        <f>"HMGB1"</f>
        <v>HMGB1</v>
      </c>
      <c r="B7217" t="s">
        <v>3</v>
      </c>
    </row>
    <row r="7218" spans="1:2" x14ac:dyDescent="0.2">
      <c r="A7218" t="str">
        <f>"HMGB2"</f>
        <v>HMGB2</v>
      </c>
      <c r="B7218" t="s">
        <v>3</v>
      </c>
    </row>
    <row r="7219" spans="1:2" x14ac:dyDescent="0.2">
      <c r="A7219" t="str">
        <f>"HMGB3"</f>
        <v>HMGB3</v>
      </c>
      <c r="B7219" t="s">
        <v>8</v>
      </c>
    </row>
    <row r="7220" spans="1:2" x14ac:dyDescent="0.2">
      <c r="A7220" t="str">
        <f>"HMGB4"</f>
        <v>HMGB4</v>
      </c>
      <c r="B7220" t="s">
        <v>8</v>
      </c>
    </row>
    <row r="7221" spans="1:2" x14ac:dyDescent="0.2">
      <c r="A7221" t="str">
        <f>"HMGCL"</f>
        <v>HMGCL</v>
      </c>
      <c r="B7221" t="s">
        <v>7</v>
      </c>
    </row>
    <row r="7222" spans="1:2" x14ac:dyDescent="0.2">
      <c r="A7222" t="str">
        <f>"HMGCLL1"</f>
        <v>HMGCLL1</v>
      </c>
      <c r="B7222" t="s">
        <v>4</v>
      </c>
    </row>
    <row r="7223" spans="1:2" x14ac:dyDescent="0.2">
      <c r="A7223" t="str">
        <f>"HMGCR"</f>
        <v>HMGCR</v>
      </c>
      <c r="B7223" t="s">
        <v>7</v>
      </c>
    </row>
    <row r="7224" spans="1:2" x14ac:dyDescent="0.2">
      <c r="A7224" t="str">
        <f>"HMGCS1"</f>
        <v>HMGCS1</v>
      </c>
      <c r="B7224" t="s">
        <v>7</v>
      </c>
    </row>
    <row r="7225" spans="1:2" x14ac:dyDescent="0.2">
      <c r="A7225" t="str">
        <f>"HMGCS2"</f>
        <v>HMGCS2</v>
      </c>
      <c r="B7225" t="s">
        <v>2</v>
      </c>
    </row>
    <row r="7226" spans="1:2" x14ac:dyDescent="0.2">
      <c r="A7226" t="str">
        <f>"HMGN1"</f>
        <v>HMGN1</v>
      </c>
      <c r="B7226" t="s">
        <v>2</v>
      </c>
    </row>
    <row r="7227" spans="1:2" x14ac:dyDescent="0.2">
      <c r="A7227" t="str">
        <f>"HMGN2"</f>
        <v>HMGN2</v>
      </c>
      <c r="B7227" t="s">
        <v>8</v>
      </c>
    </row>
    <row r="7228" spans="1:2" x14ac:dyDescent="0.2">
      <c r="A7228" t="str">
        <f>"HMGN3"</f>
        <v>HMGN3</v>
      </c>
      <c r="B7228" t="s">
        <v>6</v>
      </c>
    </row>
    <row r="7229" spans="1:2" x14ac:dyDescent="0.2">
      <c r="A7229" t="str">
        <f>"HMGN4"</f>
        <v>HMGN4</v>
      </c>
      <c r="B7229" t="s">
        <v>8</v>
      </c>
    </row>
    <row r="7230" spans="1:2" x14ac:dyDescent="0.2">
      <c r="A7230" t="str">
        <f>"HMGN5"</f>
        <v>HMGN5</v>
      </c>
      <c r="B7230" t="s">
        <v>6</v>
      </c>
    </row>
    <row r="7231" spans="1:2" x14ac:dyDescent="0.2">
      <c r="A7231" t="str">
        <f>"HMGXB3"</f>
        <v>HMGXB3</v>
      </c>
      <c r="B7231" t="s">
        <v>8</v>
      </c>
    </row>
    <row r="7232" spans="1:2" x14ac:dyDescent="0.2">
      <c r="A7232" t="str">
        <f>"HMGXB4"</f>
        <v>HMGXB4</v>
      </c>
      <c r="B7232" t="s">
        <v>2</v>
      </c>
    </row>
    <row r="7233" spans="1:2" x14ac:dyDescent="0.2">
      <c r="A7233" t="str">
        <f>"HMHA1"</f>
        <v>HMHA1</v>
      </c>
      <c r="B7233" t="s">
        <v>2</v>
      </c>
    </row>
    <row r="7234" spans="1:2" x14ac:dyDescent="0.2">
      <c r="A7234" t="str">
        <f>"HMHB1"</f>
        <v>HMHB1</v>
      </c>
      <c r="B7234" t="s">
        <v>4</v>
      </c>
    </row>
    <row r="7235" spans="1:2" x14ac:dyDescent="0.2">
      <c r="A7235" t="str">
        <f>"HMMR"</f>
        <v>HMMR</v>
      </c>
      <c r="B7235" t="s">
        <v>6</v>
      </c>
    </row>
    <row r="7236" spans="1:2" x14ac:dyDescent="0.2">
      <c r="A7236" t="str">
        <f>"HMOX1"</f>
        <v>HMOX1</v>
      </c>
      <c r="B7236" t="s">
        <v>3</v>
      </c>
    </row>
    <row r="7237" spans="1:2" x14ac:dyDescent="0.2">
      <c r="A7237" t="str">
        <f>"HMOX2"</f>
        <v>HMOX2</v>
      </c>
      <c r="B7237" t="s">
        <v>7</v>
      </c>
    </row>
    <row r="7238" spans="1:2" x14ac:dyDescent="0.2">
      <c r="A7238" t="str">
        <f>"HMP19"</f>
        <v>HMP19</v>
      </c>
      <c r="B7238" t="s">
        <v>2</v>
      </c>
    </row>
    <row r="7239" spans="1:2" x14ac:dyDescent="0.2">
      <c r="A7239" t="str">
        <f>"HMSD"</f>
        <v>HMSD</v>
      </c>
      <c r="B7239" t="s">
        <v>4</v>
      </c>
    </row>
    <row r="7240" spans="1:2" x14ac:dyDescent="0.2">
      <c r="A7240" t="str">
        <f>"HMX1"</f>
        <v>HMX1</v>
      </c>
      <c r="B7240" t="s">
        <v>8</v>
      </c>
    </row>
    <row r="7241" spans="1:2" x14ac:dyDescent="0.2">
      <c r="A7241" t="str">
        <f>"HMX2"</f>
        <v>HMX2</v>
      </c>
      <c r="B7241" t="s">
        <v>8</v>
      </c>
    </row>
    <row r="7242" spans="1:2" x14ac:dyDescent="0.2">
      <c r="A7242" t="str">
        <f>"HMX3"</f>
        <v>HMX3</v>
      </c>
      <c r="B7242" t="s">
        <v>8</v>
      </c>
    </row>
    <row r="7243" spans="1:2" x14ac:dyDescent="0.2">
      <c r="A7243" t="str">
        <f>"HN1"</f>
        <v>HN1</v>
      </c>
      <c r="B7243" t="s">
        <v>3</v>
      </c>
    </row>
    <row r="7244" spans="1:2" x14ac:dyDescent="0.2">
      <c r="A7244" t="str">
        <f>"HN1L"</f>
        <v>HN1L</v>
      </c>
      <c r="B7244" t="s">
        <v>2</v>
      </c>
    </row>
    <row r="7245" spans="1:2" x14ac:dyDescent="0.2">
      <c r="A7245" t="str">
        <f>"HNF1A"</f>
        <v>HNF1A</v>
      </c>
      <c r="B7245" t="s">
        <v>3</v>
      </c>
    </row>
    <row r="7246" spans="1:2" x14ac:dyDescent="0.2">
      <c r="A7246" t="str">
        <f>"HNF1B"</f>
        <v>HNF1B</v>
      </c>
      <c r="B7246" t="s">
        <v>2</v>
      </c>
    </row>
    <row r="7247" spans="1:2" x14ac:dyDescent="0.2">
      <c r="A7247" t="str">
        <f>"HNF4A"</f>
        <v>HNF4A</v>
      </c>
      <c r="B7247" t="s">
        <v>3</v>
      </c>
    </row>
    <row r="7248" spans="1:2" x14ac:dyDescent="0.2">
      <c r="A7248" t="str">
        <f>"HNF4G"</f>
        <v>HNF4G</v>
      </c>
      <c r="B7248" t="s">
        <v>7</v>
      </c>
    </row>
    <row r="7249" spans="1:2" x14ac:dyDescent="0.2">
      <c r="A7249" t="str">
        <f>"HNMT"</f>
        <v>HNMT</v>
      </c>
      <c r="B7249" t="s">
        <v>7</v>
      </c>
    </row>
    <row r="7250" spans="1:2" x14ac:dyDescent="0.2">
      <c r="A7250" t="str">
        <f>"HNRNPA0"</f>
        <v>HNRNPA0</v>
      </c>
      <c r="B7250" t="s">
        <v>3</v>
      </c>
    </row>
    <row r="7251" spans="1:2" x14ac:dyDescent="0.2">
      <c r="A7251" t="str">
        <f>"HNRNPA1"</f>
        <v>HNRNPA1</v>
      </c>
      <c r="B7251" t="s">
        <v>8</v>
      </c>
    </row>
    <row r="7252" spans="1:2" x14ac:dyDescent="0.2">
      <c r="A7252" t="str">
        <f>"HNRNPA1L2"</f>
        <v>HNRNPA1L2</v>
      </c>
      <c r="B7252" t="s">
        <v>8</v>
      </c>
    </row>
    <row r="7253" spans="1:2" x14ac:dyDescent="0.2">
      <c r="A7253" t="str">
        <f>"HNRNPA2B1"</f>
        <v>HNRNPA2B1</v>
      </c>
      <c r="B7253" t="s">
        <v>3</v>
      </c>
    </row>
    <row r="7254" spans="1:2" x14ac:dyDescent="0.2">
      <c r="A7254" t="str">
        <f>"HNRNPA3"</f>
        <v>HNRNPA3</v>
      </c>
      <c r="B7254" t="s">
        <v>3</v>
      </c>
    </row>
    <row r="7255" spans="1:2" x14ac:dyDescent="0.2">
      <c r="A7255" t="str">
        <f>"HNRNPAB"</f>
        <v>HNRNPAB</v>
      </c>
      <c r="B7255" t="s">
        <v>8</v>
      </c>
    </row>
    <row r="7256" spans="1:2" x14ac:dyDescent="0.2">
      <c r="A7256" t="str">
        <f>"HNRNPC"</f>
        <v>HNRNPC</v>
      </c>
      <c r="B7256" t="s">
        <v>2</v>
      </c>
    </row>
    <row r="7257" spans="1:2" x14ac:dyDescent="0.2">
      <c r="A7257" t="str">
        <f>"HNRNPCL1"</f>
        <v>HNRNPCL1</v>
      </c>
      <c r="B7257" t="s">
        <v>8</v>
      </c>
    </row>
    <row r="7258" spans="1:2" x14ac:dyDescent="0.2">
      <c r="A7258" t="str">
        <f>"HNRNPD"</f>
        <v>HNRNPD</v>
      </c>
      <c r="B7258" t="s">
        <v>6</v>
      </c>
    </row>
    <row r="7259" spans="1:2" x14ac:dyDescent="0.2">
      <c r="A7259" t="str">
        <f>"HNRNPDL"</f>
        <v>HNRNPDL</v>
      </c>
      <c r="B7259" t="s">
        <v>4</v>
      </c>
    </row>
    <row r="7260" spans="1:2" x14ac:dyDescent="0.2">
      <c r="A7260" t="str">
        <f>"HNRNPF"</f>
        <v>HNRNPF</v>
      </c>
      <c r="B7260" t="s">
        <v>2</v>
      </c>
    </row>
    <row r="7261" spans="1:2" x14ac:dyDescent="0.2">
      <c r="A7261" t="str">
        <f>"HNRNPH1"</f>
        <v>HNRNPH1</v>
      </c>
      <c r="B7261" t="s">
        <v>2</v>
      </c>
    </row>
    <row r="7262" spans="1:2" x14ac:dyDescent="0.2">
      <c r="A7262" t="str">
        <f>"HNRNPH2"</f>
        <v>HNRNPH2</v>
      </c>
      <c r="B7262" t="s">
        <v>2</v>
      </c>
    </row>
    <row r="7263" spans="1:2" x14ac:dyDescent="0.2">
      <c r="A7263" t="str">
        <f>"HNRNPH3"</f>
        <v>HNRNPH3</v>
      </c>
      <c r="B7263" t="s">
        <v>8</v>
      </c>
    </row>
    <row r="7264" spans="1:2" x14ac:dyDescent="0.2">
      <c r="A7264" t="str">
        <f>"HNRNPK"</f>
        <v>HNRNPK</v>
      </c>
      <c r="B7264" t="s">
        <v>2</v>
      </c>
    </row>
    <row r="7265" spans="1:2" x14ac:dyDescent="0.2">
      <c r="A7265" t="str">
        <f>"HNRNPL"</f>
        <v>HNRNPL</v>
      </c>
      <c r="B7265" t="s">
        <v>8</v>
      </c>
    </row>
    <row r="7266" spans="1:2" x14ac:dyDescent="0.2">
      <c r="A7266" t="str">
        <f>"HNRNPLL"</f>
        <v>HNRNPLL</v>
      </c>
      <c r="B7266" t="s">
        <v>4</v>
      </c>
    </row>
    <row r="7267" spans="1:2" x14ac:dyDescent="0.2">
      <c r="A7267" t="str">
        <f>"HNRNPM"</f>
        <v>HNRNPM</v>
      </c>
      <c r="B7267" t="s">
        <v>8</v>
      </c>
    </row>
    <row r="7268" spans="1:2" x14ac:dyDescent="0.2">
      <c r="A7268" t="str">
        <f>"HNRNPR"</f>
        <v>HNRNPR</v>
      </c>
      <c r="B7268" t="s">
        <v>8</v>
      </c>
    </row>
    <row r="7269" spans="1:2" x14ac:dyDescent="0.2">
      <c r="A7269" t="str">
        <f>"HNRNPU"</f>
        <v>HNRNPU</v>
      </c>
      <c r="B7269" t="s">
        <v>2</v>
      </c>
    </row>
    <row r="7270" spans="1:2" x14ac:dyDescent="0.2">
      <c r="A7270" t="str">
        <f>"HNRNPUL1"</f>
        <v>HNRNPUL1</v>
      </c>
      <c r="B7270" t="s">
        <v>8</v>
      </c>
    </row>
    <row r="7271" spans="1:2" x14ac:dyDescent="0.2">
      <c r="A7271" t="str">
        <f>"HNRNPUL2"</f>
        <v>HNRNPUL2</v>
      </c>
      <c r="B7271" t="s">
        <v>4</v>
      </c>
    </row>
    <row r="7272" spans="1:2" x14ac:dyDescent="0.2">
      <c r="A7272" t="str">
        <f>"HOGA1"</f>
        <v>HOGA1</v>
      </c>
      <c r="B7272" t="s">
        <v>6</v>
      </c>
    </row>
    <row r="7273" spans="1:2" x14ac:dyDescent="0.2">
      <c r="A7273" t="str">
        <f>"HOMER1"</f>
        <v>HOMER1</v>
      </c>
      <c r="B7273" t="s">
        <v>2</v>
      </c>
    </row>
    <row r="7274" spans="1:2" x14ac:dyDescent="0.2">
      <c r="A7274" t="str">
        <f>"HOMER2"</f>
        <v>HOMER2</v>
      </c>
      <c r="B7274" t="s">
        <v>4</v>
      </c>
    </row>
    <row r="7275" spans="1:2" x14ac:dyDescent="0.2">
      <c r="A7275" t="str">
        <f>"HOMER3"</f>
        <v>HOMER3</v>
      </c>
      <c r="B7275" t="s">
        <v>3</v>
      </c>
    </row>
    <row r="7276" spans="1:2" x14ac:dyDescent="0.2">
      <c r="A7276" t="str">
        <f>"HOMEZ"</f>
        <v>HOMEZ</v>
      </c>
      <c r="B7276" t="s">
        <v>8</v>
      </c>
    </row>
    <row r="7277" spans="1:2" x14ac:dyDescent="0.2">
      <c r="A7277" t="str">
        <f>"HOOK1"</f>
        <v>HOOK1</v>
      </c>
      <c r="B7277" t="s">
        <v>3</v>
      </c>
    </row>
    <row r="7278" spans="1:2" x14ac:dyDescent="0.2">
      <c r="A7278" t="str">
        <f>"HOOK2"</f>
        <v>HOOK2</v>
      </c>
      <c r="B7278" t="s">
        <v>2</v>
      </c>
    </row>
    <row r="7279" spans="1:2" x14ac:dyDescent="0.2">
      <c r="A7279" t="str">
        <f>"HOOK3"</f>
        <v>HOOK3</v>
      </c>
      <c r="B7279" t="s">
        <v>6</v>
      </c>
    </row>
    <row r="7280" spans="1:2" x14ac:dyDescent="0.2">
      <c r="A7280" t="str">
        <f>"HOPX"</f>
        <v>HOPX</v>
      </c>
      <c r="B7280" t="s">
        <v>8</v>
      </c>
    </row>
    <row r="7281" spans="1:2" x14ac:dyDescent="0.2">
      <c r="A7281" t="str">
        <f>"HORMAD1"</f>
        <v>HORMAD1</v>
      </c>
      <c r="B7281" t="s">
        <v>4</v>
      </c>
    </row>
    <row r="7282" spans="1:2" x14ac:dyDescent="0.2">
      <c r="A7282" t="str">
        <f>"HORMAD2"</f>
        <v>HORMAD2</v>
      </c>
      <c r="B7282" t="s">
        <v>4</v>
      </c>
    </row>
    <row r="7283" spans="1:2" x14ac:dyDescent="0.2">
      <c r="A7283" t="str">
        <f>"HOXA1"</f>
        <v>HOXA1</v>
      </c>
      <c r="B7283" t="s">
        <v>8</v>
      </c>
    </row>
    <row r="7284" spans="1:2" x14ac:dyDescent="0.2">
      <c r="A7284" t="str">
        <f>"HOXA10"</f>
        <v>HOXA10</v>
      </c>
      <c r="B7284" t="s">
        <v>8</v>
      </c>
    </row>
    <row r="7285" spans="1:2" x14ac:dyDescent="0.2">
      <c r="A7285" t="str">
        <f>"HOXA11"</f>
        <v>HOXA11</v>
      </c>
      <c r="B7285" t="s">
        <v>3</v>
      </c>
    </row>
    <row r="7286" spans="1:2" x14ac:dyDescent="0.2">
      <c r="A7286" t="str">
        <f>"HOXA13"</f>
        <v>HOXA13</v>
      </c>
      <c r="B7286" t="s">
        <v>3</v>
      </c>
    </row>
    <row r="7287" spans="1:2" x14ac:dyDescent="0.2">
      <c r="A7287" t="str">
        <f>"HOXA2"</f>
        <v>HOXA2</v>
      </c>
      <c r="B7287" t="s">
        <v>8</v>
      </c>
    </row>
    <row r="7288" spans="1:2" x14ac:dyDescent="0.2">
      <c r="A7288" t="str">
        <f>"HOXA3"</f>
        <v>HOXA3</v>
      </c>
      <c r="B7288" t="s">
        <v>8</v>
      </c>
    </row>
    <row r="7289" spans="1:2" x14ac:dyDescent="0.2">
      <c r="A7289" t="str">
        <f>"HOXA4"</f>
        <v>HOXA4</v>
      </c>
      <c r="B7289" t="s">
        <v>8</v>
      </c>
    </row>
    <row r="7290" spans="1:2" x14ac:dyDescent="0.2">
      <c r="A7290" t="str">
        <f>"HOXA5"</f>
        <v>HOXA5</v>
      </c>
      <c r="B7290" t="s">
        <v>8</v>
      </c>
    </row>
    <row r="7291" spans="1:2" x14ac:dyDescent="0.2">
      <c r="A7291" t="str">
        <f>"HOXA6"</f>
        <v>HOXA6</v>
      </c>
      <c r="B7291" t="s">
        <v>8</v>
      </c>
    </row>
    <row r="7292" spans="1:2" x14ac:dyDescent="0.2">
      <c r="A7292" t="str">
        <f>"HOXA7"</f>
        <v>HOXA7</v>
      </c>
      <c r="B7292" t="s">
        <v>8</v>
      </c>
    </row>
    <row r="7293" spans="1:2" x14ac:dyDescent="0.2">
      <c r="A7293" t="str">
        <f>"HOXA9"</f>
        <v>HOXA9</v>
      </c>
      <c r="B7293" t="s">
        <v>3</v>
      </c>
    </row>
    <row r="7294" spans="1:2" x14ac:dyDescent="0.2">
      <c r="A7294" t="str">
        <f>"HOXB1"</f>
        <v>HOXB1</v>
      </c>
      <c r="B7294" t="s">
        <v>2</v>
      </c>
    </row>
    <row r="7295" spans="1:2" x14ac:dyDescent="0.2">
      <c r="A7295" t="str">
        <f>"HOXB13"</f>
        <v>HOXB13</v>
      </c>
      <c r="B7295" t="s">
        <v>8</v>
      </c>
    </row>
    <row r="7296" spans="1:2" x14ac:dyDescent="0.2">
      <c r="A7296" t="str">
        <f>"HOXB2"</f>
        <v>HOXB2</v>
      </c>
      <c r="B7296" t="s">
        <v>8</v>
      </c>
    </row>
    <row r="7297" spans="1:2" x14ac:dyDescent="0.2">
      <c r="A7297" t="str">
        <f>"HOXB3"</f>
        <v>HOXB3</v>
      </c>
      <c r="B7297" t="s">
        <v>8</v>
      </c>
    </row>
    <row r="7298" spans="1:2" x14ac:dyDescent="0.2">
      <c r="A7298" t="str">
        <f>"HOXB4"</f>
        <v>HOXB4</v>
      </c>
      <c r="B7298" t="s">
        <v>8</v>
      </c>
    </row>
    <row r="7299" spans="1:2" x14ac:dyDescent="0.2">
      <c r="A7299" t="str">
        <f>"HOXB5"</f>
        <v>HOXB5</v>
      </c>
      <c r="B7299" t="s">
        <v>8</v>
      </c>
    </row>
    <row r="7300" spans="1:2" x14ac:dyDescent="0.2">
      <c r="A7300" t="str">
        <f>"HOXB6"</f>
        <v>HOXB6</v>
      </c>
      <c r="B7300" t="s">
        <v>8</v>
      </c>
    </row>
    <row r="7301" spans="1:2" x14ac:dyDescent="0.2">
      <c r="A7301" t="str">
        <f>"HOXB7"</f>
        <v>HOXB7</v>
      </c>
      <c r="B7301" t="s">
        <v>8</v>
      </c>
    </row>
    <row r="7302" spans="1:2" x14ac:dyDescent="0.2">
      <c r="A7302" t="str">
        <f>"HOXB8"</f>
        <v>HOXB8</v>
      </c>
      <c r="B7302" t="s">
        <v>8</v>
      </c>
    </row>
    <row r="7303" spans="1:2" x14ac:dyDescent="0.2">
      <c r="A7303" t="str">
        <f>"HOXB9"</f>
        <v>HOXB9</v>
      </c>
      <c r="B7303" t="s">
        <v>6</v>
      </c>
    </row>
    <row r="7304" spans="1:2" x14ac:dyDescent="0.2">
      <c r="A7304" t="str">
        <f>"HOXC10"</f>
        <v>HOXC10</v>
      </c>
      <c r="B7304" t="s">
        <v>8</v>
      </c>
    </row>
    <row r="7305" spans="1:2" x14ac:dyDescent="0.2">
      <c r="A7305" t="str">
        <f>"HOXC11"</f>
        <v>HOXC11</v>
      </c>
      <c r="B7305" t="s">
        <v>3</v>
      </c>
    </row>
    <row r="7306" spans="1:2" x14ac:dyDescent="0.2">
      <c r="A7306" t="str">
        <f>"HOXC12"</f>
        <v>HOXC12</v>
      </c>
      <c r="B7306" t="s">
        <v>8</v>
      </c>
    </row>
    <row r="7307" spans="1:2" x14ac:dyDescent="0.2">
      <c r="A7307" t="str">
        <f>"HOXC13"</f>
        <v>HOXC13</v>
      </c>
      <c r="B7307" t="s">
        <v>3</v>
      </c>
    </row>
    <row r="7308" spans="1:2" x14ac:dyDescent="0.2">
      <c r="A7308" t="str">
        <f>"HOXC4"</f>
        <v>HOXC4</v>
      </c>
      <c r="B7308" t="s">
        <v>8</v>
      </c>
    </row>
    <row r="7309" spans="1:2" x14ac:dyDescent="0.2">
      <c r="A7309" t="str">
        <f>"HOXC5"</f>
        <v>HOXC5</v>
      </c>
      <c r="B7309" t="s">
        <v>8</v>
      </c>
    </row>
    <row r="7310" spans="1:2" x14ac:dyDescent="0.2">
      <c r="A7310" t="str">
        <f>"HOXC6"</f>
        <v>HOXC6</v>
      </c>
      <c r="B7310" t="s">
        <v>8</v>
      </c>
    </row>
    <row r="7311" spans="1:2" x14ac:dyDescent="0.2">
      <c r="A7311" t="str">
        <f>"HOXC8"</f>
        <v>HOXC8</v>
      </c>
      <c r="B7311" t="s">
        <v>8</v>
      </c>
    </row>
    <row r="7312" spans="1:2" x14ac:dyDescent="0.2">
      <c r="A7312" t="str">
        <f>"HOXC9"</f>
        <v>HOXC9</v>
      </c>
      <c r="B7312" t="s">
        <v>8</v>
      </c>
    </row>
    <row r="7313" spans="1:2" x14ac:dyDescent="0.2">
      <c r="A7313" t="str">
        <f>"HOXD1"</f>
        <v>HOXD1</v>
      </c>
      <c r="B7313" t="s">
        <v>8</v>
      </c>
    </row>
    <row r="7314" spans="1:2" x14ac:dyDescent="0.2">
      <c r="A7314" t="str">
        <f>"HOXD10"</f>
        <v>HOXD10</v>
      </c>
      <c r="B7314" t="s">
        <v>8</v>
      </c>
    </row>
    <row r="7315" spans="1:2" x14ac:dyDescent="0.2">
      <c r="A7315" t="str">
        <f>"HOXD11"</f>
        <v>HOXD11</v>
      </c>
      <c r="B7315" t="s">
        <v>3</v>
      </c>
    </row>
    <row r="7316" spans="1:2" x14ac:dyDescent="0.2">
      <c r="A7316" t="str">
        <f>"HOXD12"</f>
        <v>HOXD12</v>
      </c>
      <c r="B7316" t="s">
        <v>8</v>
      </c>
    </row>
    <row r="7317" spans="1:2" x14ac:dyDescent="0.2">
      <c r="A7317" t="str">
        <f>"HOXD13"</f>
        <v>HOXD13</v>
      </c>
      <c r="B7317" t="s">
        <v>3</v>
      </c>
    </row>
    <row r="7318" spans="1:2" x14ac:dyDescent="0.2">
      <c r="A7318" t="str">
        <f>"HOXD3"</f>
        <v>HOXD3</v>
      </c>
      <c r="B7318" t="s">
        <v>8</v>
      </c>
    </row>
    <row r="7319" spans="1:2" x14ac:dyDescent="0.2">
      <c r="A7319" t="str">
        <f>"HOXD4"</f>
        <v>HOXD4</v>
      </c>
      <c r="B7319" t="s">
        <v>8</v>
      </c>
    </row>
    <row r="7320" spans="1:2" x14ac:dyDescent="0.2">
      <c r="A7320" t="str">
        <f>"HOXD8"</f>
        <v>HOXD8</v>
      </c>
      <c r="B7320" t="s">
        <v>8</v>
      </c>
    </row>
    <row r="7321" spans="1:2" x14ac:dyDescent="0.2">
      <c r="A7321" t="str">
        <f>"HOXD9"</f>
        <v>HOXD9</v>
      </c>
      <c r="B7321" t="s">
        <v>8</v>
      </c>
    </row>
    <row r="7322" spans="1:2" x14ac:dyDescent="0.2">
      <c r="A7322" t="str">
        <f>"HP"</f>
        <v>HP</v>
      </c>
      <c r="B7322" t="s">
        <v>4</v>
      </c>
    </row>
    <row r="7323" spans="1:2" x14ac:dyDescent="0.2">
      <c r="A7323" t="str">
        <f>"HP1BP3"</f>
        <v>HP1BP3</v>
      </c>
      <c r="B7323" t="s">
        <v>8</v>
      </c>
    </row>
    <row r="7324" spans="1:2" x14ac:dyDescent="0.2">
      <c r="A7324" t="str">
        <f>"HPCA"</f>
        <v>HPCA</v>
      </c>
      <c r="B7324" t="s">
        <v>3</v>
      </c>
    </row>
    <row r="7325" spans="1:2" x14ac:dyDescent="0.2">
      <c r="A7325" t="str">
        <f>"HPCAL1"</f>
        <v>HPCAL1</v>
      </c>
      <c r="B7325" t="s">
        <v>4</v>
      </c>
    </row>
    <row r="7326" spans="1:2" x14ac:dyDescent="0.2">
      <c r="A7326" t="str">
        <f>"HPCAL4"</f>
        <v>HPCAL4</v>
      </c>
      <c r="B7326" t="s">
        <v>3</v>
      </c>
    </row>
    <row r="7327" spans="1:2" x14ac:dyDescent="0.2">
      <c r="A7327" t="str">
        <f>"HPD"</f>
        <v>HPD</v>
      </c>
      <c r="B7327" t="s">
        <v>7</v>
      </c>
    </row>
    <row r="7328" spans="1:2" x14ac:dyDescent="0.2">
      <c r="A7328" t="str">
        <f>"HPDL"</f>
        <v>HPDL</v>
      </c>
      <c r="B7328" t="s">
        <v>6</v>
      </c>
    </row>
    <row r="7329" spans="1:2" x14ac:dyDescent="0.2">
      <c r="A7329" t="str">
        <f>"HPGD"</f>
        <v>HPGD</v>
      </c>
      <c r="B7329" t="s">
        <v>3</v>
      </c>
    </row>
    <row r="7330" spans="1:2" x14ac:dyDescent="0.2">
      <c r="A7330" t="str">
        <f>"HPGDS"</f>
        <v>HPGDS</v>
      </c>
      <c r="B7330" t="s">
        <v>7</v>
      </c>
    </row>
    <row r="7331" spans="1:2" x14ac:dyDescent="0.2">
      <c r="A7331" t="str">
        <f>"HPN"</f>
        <v>HPN</v>
      </c>
      <c r="B7331" t="s">
        <v>7</v>
      </c>
    </row>
    <row r="7332" spans="1:2" x14ac:dyDescent="0.2">
      <c r="A7332" t="str">
        <f>"HPR"</f>
        <v>HPR</v>
      </c>
      <c r="B7332" t="s">
        <v>2</v>
      </c>
    </row>
    <row r="7333" spans="1:2" x14ac:dyDescent="0.2">
      <c r="A7333" t="str">
        <f>"HPRT1"</f>
        <v>HPRT1</v>
      </c>
      <c r="B7333" t="s">
        <v>7</v>
      </c>
    </row>
    <row r="7334" spans="1:2" x14ac:dyDescent="0.2">
      <c r="A7334" t="str">
        <f>"HPS1"</f>
        <v>HPS1</v>
      </c>
      <c r="B7334" t="s">
        <v>2</v>
      </c>
    </row>
    <row r="7335" spans="1:2" x14ac:dyDescent="0.2">
      <c r="A7335" t="str">
        <f>"HPS3"</f>
        <v>HPS3</v>
      </c>
      <c r="B7335" t="s">
        <v>4</v>
      </c>
    </row>
    <row r="7336" spans="1:2" x14ac:dyDescent="0.2">
      <c r="A7336" t="str">
        <f>"HPS4"</f>
        <v>HPS4</v>
      </c>
      <c r="B7336" t="s">
        <v>2</v>
      </c>
    </row>
    <row r="7337" spans="1:2" x14ac:dyDescent="0.2">
      <c r="A7337" t="str">
        <f>"HPS5"</f>
        <v>HPS5</v>
      </c>
      <c r="B7337" t="s">
        <v>4</v>
      </c>
    </row>
    <row r="7338" spans="1:2" x14ac:dyDescent="0.2">
      <c r="A7338" t="str">
        <f>"HPS6"</f>
        <v>HPS6</v>
      </c>
      <c r="B7338" t="s">
        <v>2</v>
      </c>
    </row>
    <row r="7339" spans="1:2" x14ac:dyDescent="0.2">
      <c r="A7339" t="str">
        <f>"HPSE"</f>
        <v>HPSE</v>
      </c>
      <c r="B7339" t="s">
        <v>3</v>
      </c>
    </row>
    <row r="7340" spans="1:2" x14ac:dyDescent="0.2">
      <c r="A7340" t="str">
        <f>"HPSE2"</f>
        <v>HPSE2</v>
      </c>
      <c r="B7340" t="s">
        <v>3</v>
      </c>
    </row>
    <row r="7341" spans="1:2" x14ac:dyDescent="0.2">
      <c r="A7341" t="str">
        <f>"HPX"</f>
        <v>HPX</v>
      </c>
      <c r="B7341" t="s">
        <v>7</v>
      </c>
    </row>
    <row r="7342" spans="1:2" x14ac:dyDescent="0.2">
      <c r="A7342" t="str">
        <f>"HR"</f>
        <v>HR</v>
      </c>
      <c r="B7342" t="s">
        <v>8</v>
      </c>
    </row>
    <row r="7343" spans="1:2" x14ac:dyDescent="0.2">
      <c r="A7343" t="str">
        <f>"HRAS"</f>
        <v>HRAS</v>
      </c>
      <c r="B7343" t="s">
        <v>3</v>
      </c>
    </row>
    <row r="7344" spans="1:2" x14ac:dyDescent="0.2">
      <c r="A7344" t="str">
        <f>"HRASLS"</f>
        <v>HRASLS</v>
      </c>
      <c r="B7344" t="s">
        <v>3</v>
      </c>
    </row>
    <row r="7345" spans="1:2" x14ac:dyDescent="0.2">
      <c r="A7345" t="str">
        <f>"HRASLS2"</f>
        <v>HRASLS2</v>
      </c>
      <c r="B7345" t="s">
        <v>5</v>
      </c>
    </row>
    <row r="7346" spans="1:2" x14ac:dyDescent="0.2">
      <c r="A7346" t="str">
        <f>"HRASLS5"</f>
        <v>HRASLS5</v>
      </c>
      <c r="B7346" t="s">
        <v>4</v>
      </c>
    </row>
    <row r="7347" spans="1:2" x14ac:dyDescent="0.2">
      <c r="A7347" t="str">
        <f>"HRC"</f>
        <v>HRC</v>
      </c>
      <c r="B7347" t="s">
        <v>2</v>
      </c>
    </row>
    <row r="7348" spans="1:2" x14ac:dyDescent="0.2">
      <c r="A7348" t="str">
        <f>"HRCT1"</f>
        <v>HRCT1</v>
      </c>
      <c r="B7348" t="s">
        <v>5</v>
      </c>
    </row>
    <row r="7349" spans="1:2" x14ac:dyDescent="0.2">
      <c r="A7349" t="str">
        <f>"HRG"</f>
        <v>HRG</v>
      </c>
      <c r="B7349" t="s">
        <v>2</v>
      </c>
    </row>
    <row r="7350" spans="1:2" x14ac:dyDescent="0.2">
      <c r="A7350" t="str">
        <f>"HRH1"</f>
        <v>HRH1</v>
      </c>
      <c r="B7350" t="s">
        <v>7</v>
      </c>
    </row>
    <row r="7351" spans="1:2" x14ac:dyDescent="0.2">
      <c r="A7351" t="str">
        <f>"HRH2"</f>
        <v>HRH2</v>
      </c>
      <c r="B7351" t="s">
        <v>7</v>
      </c>
    </row>
    <row r="7352" spans="1:2" x14ac:dyDescent="0.2">
      <c r="A7352" t="str">
        <f>"HRH3"</f>
        <v>HRH3</v>
      </c>
      <c r="B7352" t="s">
        <v>7</v>
      </c>
    </row>
    <row r="7353" spans="1:2" x14ac:dyDescent="0.2">
      <c r="A7353" t="str">
        <f>"HRH4"</f>
        <v>HRH4</v>
      </c>
      <c r="B7353" t="s">
        <v>7</v>
      </c>
    </row>
    <row r="7354" spans="1:2" x14ac:dyDescent="0.2">
      <c r="A7354" t="str">
        <f>"HRK"</f>
        <v>HRK</v>
      </c>
      <c r="B7354" t="s">
        <v>3</v>
      </c>
    </row>
    <row r="7355" spans="1:2" x14ac:dyDescent="0.2">
      <c r="A7355" t="str">
        <f>"HRNR"</f>
        <v>HRNR</v>
      </c>
      <c r="B7355" t="s">
        <v>3</v>
      </c>
    </row>
    <row r="7356" spans="1:2" x14ac:dyDescent="0.2">
      <c r="A7356" t="str">
        <f>"HRSP12"</f>
        <v>HRSP12</v>
      </c>
      <c r="B7356" t="s">
        <v>7</v>
      </c>
    </row>
    <row r="7357" spans="1:2" x14ac:dyDescent="0.2">
      <c r="A7357" t="str">
        <f>"HS1BP3"</f>
        <v>HS1BP3</v>
      </c>
      <c r="B7357" t="s">
        <v>4</v>
      </c>
    </row>
    <row r="7358" spans="1:2" x14ac:dyDescent="0.2">
      <c r="A7358" t="str">
        <f>"HS2ST1"</f>
        <v>HS2ST1</v>
      </c>
      <c r="B7358" t="s">
        <v>2</v>
      </c>
    </row>
    <row r="7359" spans="1:2" x14ac:dyDescent="0.2">
      <c r="A7359" t="str">
        <f>"HS3ST1"</f>
        <v>HS3ST1</v>
      </c>
      <c r="B7359" t="s">
        <v>7</v>
      </c>
    </row>
    <row r="7360" spans="1:2" x14ac:dyDescent="0.2">
      <c r="A7360" t="str">
        <f>"HS3ST2"</f>
        <v>HS3ST2</v>
      </c>
      <c r="B7360" t="s">
        <v>5</v>
      </c>
    </row>
    <row r="7361" spans="1:2" x14ac:dyDescent="0.2">
      <c r="A7361" t="str">
        <f>"HS3ST3A1"</f>
        <v>HS3ST3A1</v>
      </c>
      <c r="B7361" t="s">
        <v>7</v>
      </c>
    </row>
    <row r="7362" spans="1:2" x14ac:dyDescent="0.2">
      <c r="A7362" t="str">
        <f>"HS3ST3B1"</f>
        <v>HS3ST3B1</v>
      </c>
      <c r="B7362" t="s">
        <v>2</v>
      </c>
    </row>
    <row r="7363" spans="1:2" x14ac:dyDescent="0.2">
      <c r="A7363" t="str">
        <f>"HS3ST4"</f>
        <v>HS3ST4</v>
      </c>
      <c r="B7363" t="s">
        <v>5</v>
      </c>
    </row>
    <row r="7364" spans="1:2" x14ac:dyDescent="0.2">
      <c r="A7364" t="str">
        <f>"HS3ST5"</f>
        <v>HS3ST5</v>
      </c>
      <c r="B7364" t="s">
        <v>3</v>
      </c>
    </row>
    <row r="7365" spans="1:2" x14ac:dyDescent="0.2">
      <c r="A7365" t="str">
        <f>"HS3ST6"</f>
        <v>HS3ST6</v>
      </c>
      <c r="B7365" t="s">
        <v>5</v>
      </c>
    </row>
    <row r="7366" spans="1:2" x14ac:dyDescent="0.2">
      <c r="A7366" t="str">
        <f>"HS6ST1"</f>
        <v>HS6ST1</v>
      </c>
      <c r="B7366" t="s">
        <v>3</v>
      </c>
    </row>
    <row r="7367" spans="1:2" x14ac:dyDescent="0.2">
      <c r="A7367" t="str">
        <f>"HS6ST2"</f>
        <v>HS6ST2</v>
      </c>
      <c r="B7367" t="s">
        <v>5</v>
      </c>
    </row>
    <row r="7368" spans="1:2" x14ac:dyDescent="0.2">
      <c r="A7368" t="str">
        <f>"HS6ST3"</f>
        <v>HS6ST3</v>
      </c>
      <c r="B7368" t="s">
        <v>3</v>
      </c>
    </row>
    <row r="7369" spans="1:2" x14ac:dyDescent="0.2">
      <c r="A7369" t="str">
        <f>"HSBP1"</f>
        <v>HSBP1</v>
      </c>
      <c r="B7369" t="s">
        <v>2</v>
      </c>
    </row>
    <row r="7370" spans="1:2" x14ac:dyDescent="0.2">
      <c r="A7370" t="str">
        <f>"HSBP1L1"</f>
        <v>HSBP1L1</v>
      </c>
      <c r="B7370" t="s">
        <v>4</v>
      </c>
    </row>
    <row r="7371" spans="1:2" x14ac:dyDescent="0.2">
      <c r="A7371" t="str">
        <f>"HSCB"</f>
        <v>HSCB</v>
      </c>
      <c r="B7371" t="s">
        <v>2</v>
      </c>
    </row>
    <row r="7372" spans="1:2" x14ac:dyDescent="0.2">
      <c r="A7372" t="str">
        <f>"HSD11B1"</f>
        <v>HSD11B1</v>
      </c>
      <c r="B7372" t="s">
        <v>3</v>
      </c>
    </row>
    <row r="7373" spans="1:2" x14ac:dyDescent="0.2">
      <c r="A7373" t="str">
        <f>"HSD11B1L"</f>
        <v>HSD11B1L</v>
      </c>
      <c r="B7373" t="s">
        <v>4</v>
      </c>
    </row>
    <row r="7374" spans="1:2" x14ac:dyDescent="0.2">
      <c r="A7374" t="str">
        <f>"HSD11B2"</f>
        <v>HSD11B2</v>
      </c>
      <c r="B7374" t="s">
        <v>7</v>
      </c>
    </row>
    <row r="7375" spans="1:2" x14ac:dyDescent="0.2">
      <c r="A7375" t="str">
        <f>"HSD17B1"</f>
        <v>HSD17B1</v>
      </c>
      <c r="B7375" t="s">
        <v>3</v>
      </c>
    </row>
    <row r="7376" spans="1:2" x14ac:dyDescent="0.2">
      <c r="A7376" t="str">
        <f>"HSD17B10"</f>
        <v>HSD17B10</v>
      </c>
      <c r="B7376" t="s">
        <v>7</v>
      </c>
    </row>
    <row r="7377" spans="1:2" x14ac:dyDescent="0.2">
      <c r="A7377" t="str">
        <f>"HSD17B11"</f>
        <v>HSD17B11</v>
      </c>
      <c r="B7377" t="s">
        <v>7</v>
      </c>
    </row>
    <row r="7378" spans="1:2" x14ac:dyDescent="0.2">
      <c r="A7378" t="str">
        <f>"HSD17B12"</f>
        <v>HSD17B12</v>
      </c>
      <c r="B7378" t="s">
        <v>6</v>
      </c>
    </row>
    <row r="7379" spans="1:2" x14ac:dyDescent="0.2">
      <c r="A7379" t="str">
        <f>"HSD17B13"</f>
        <v>HSD17B13</v>
      </c>
      <c r="B7379" t="s">
        <v>2</v>
      </c>
    </row>
    <row r="7380" spans="1:2" x14ac:dyDescent="0.2">
      <c r="A7380" t="str">
        <f>"HSD17B14"</f>
        <v>HSD17B14</v>
      </c>
      <c r="B7380" t="s">
        <v>6</v>
      </c>
    </row>
    <row r="7381" spans="1:2" x14ac:dyDescent="0.2">
      <c r="A7381" t="str">
        <f>"HSD17B2"</f>
        <v>HSD17B2</v>
      </c>
      <c r="B7381" t="s">
        <v>3</v>
      </c>
    </row>
    <row r="7382" spans="1:2" x14ac:dyDescent="0.2">
      <c r="A7382" t="str">
        <f>"HSD17B3"</f>
        <v>HSD17B3</v>
      </c>
      <c r="B7382" t="s">
        <v>3</v>
      </c>
    </row>
    <row r="7383" spans="1:2" x14ac:dyDescent="0.2">
      <c r="A7383" t="str">
        <f>"HSD17B4"</f>
        <v>HSD17B4</v>
      </c>
      <c r="B7383" t="s">
        <v>3</v>
      </c>
    </row>
    <row r="7384" spans="1:2" x14ac:dyDescent="0.2">
      <c r="A7384" t="str">
        <f>"HSD17B6"</f>
        <v>HSD17B6</v>
      </c>
      <c r="B7384" t="s">
        <v>7</v>
      </c>
    </row>
    <row r="7385" spans="1:2" x14ac:dyDescent="0.2">
      <c r="A7385" t="str">
        <f>"HSD17B7"</f>
        <v>HSD17B7</v>
      </c>
      <c r="B7385" t="s">
        <v>7</v>
      </c>
    </row>
    <row r="7386" spans="1:2" x14ac:dyDescent="0.2">
      <c r="A7386" t="str">
        <f>"HSD17B8"</f>
        <v>HSD17B8</v>
      </c>
      <c r="B7386" t="s">
        <v>7</v>
      </c>
    </row>
    <row r="7387" spans="1:2" x14ac:dyDescent="0.2">
      <c r="A7387" t="str">
        <f>"HSD3B1"</f>
        <v>HSD3B1</v>
      </c>
      <c r="B7387" t="s">
        <v>3</v>
      </c>
    </row>
    <row r="7388" spans="1:2" x14ac:dyDescent="0.2">
      <c r="A7388" t="str">
        <f>"HSD3B2"</f>
        <v>HSD3B2</v>
      </c>
      <c r="B7388" t="s">
        <v>3</v>
      </c>
    </row>
    <row r="7389" spans="1:2" x14ac:dyDescent="0.2">
      <c r="A7389" t="str">
        <f>"HSD3B7"</f>
        <v>HSD3B7</v>
      </c>
      <c r="B7389" t="s">
        <v>6</v>
      </c>
    </row>
    <row r="7390" spans="1:2" x14ac:dyDescent="0.2">
      <c r="A7390" t="str">
        <f>"HSDL1"</f>
        <v>HSDL1</v>
      </c>
      <c r="B7390" t="s">
        <v>2</v>
      </c>
    </row>
    <row r="7391" spans="1:2" x14ac:dyDescent="0.2">
      <c r="A7391" t="str">
        <f>"HSDL2"</f>
        <v>HSDL2</v>
      </c>
      <c r="B7391" t="s">
        <v>6</v>
      </c>
    </row>
    <row r="7392" spans="1:2" x14ac:dyDescent="0.2">
      <c r="A7392" t="str">
        <f>"HSF1"</f>
        <v>HSF1</v>
      </c>
      <c r="B7392" t="s">
        <v>2</v>
      </c>
    </row>
    <row r="7393" spans="1:2" x14ac:dyDescent="0.2">
      <c r="A7393" t="str">
        <f>"HSF2"</f>
        <v>HSF2</v>
      </c>
      <c r="B7393" t="s">
        <v>2</v>
      </c>
    </row>
    <row r="7394" spans="1:2" x14ac:dyDescent="0.2">
      <c r="A7394" t="str">
        <f>"HSF2BP"</f>
        <v>HSF2BP</v>
      </c>
      <c r="B7394" t="s">
        <v>2</v>
      </c>
    </row>
    <row r="7395" spans="1:2" x14ac:dyDescent="0.2">
      <c r="A7395" t="str">
        <f>"HSF4"</f>
        <v>HSF4</v>
      </c>
      <c r="B7395" t="s">
        <v>2</v>
      </c>
    </row>
    <row r="7396" spans="1:2" x14ac:dyDescent="0.2">
      <c r="A7396" t="str">
        <f>"HSF5"</f>
        <v>HSF5</v>
      </c>
      <c r="B7396" t="s">
        <v>8</v>
      </c>
    </row>
    <row r="7397" spans="1:2" x14ac:dyDescent="0.2">
      <c r="A7397" t="str">
        <f>"HSFX1"</f>
        <v>HSFX1</v>
      </c>
      <c r="B7397" t="s">
        <v>8</v>
      </c>
    </row>
    <row r="7398" spans="1:2" x14ac:dyDescent="0.2">
      <c r="A7398" t="str">
        <f>"HSFX2"</f>
        <v>HSFX2</v>
      </c>
      <c r="B7398" t="s">
        <v>8</v>
      </c>
    </row>
    <row r="7399" spans="1:2" x14ac:dyDescent="0.2">
      <c r="A7399" t="str">
        <f>"HSFY1"</f>
        <v>HSFY1</v>
      </c>
      <c r="B7399" t="s">
        <v>8</v>
      </c>
    </row>
    <row r="7400" spans="1:2" x14ac:dyDescent="0.2">
      <c r="A7400" t="str">
        <f>"HSFY2"</f>
        <v>HSFY2</v>
      </c>
      <c r="B7400" t="s">
        <v>8</v>
      </c>
    </row>
    <row r="7401" spans="1:2" x14ac:dyDescent="0.2">
      <c r="A7401" t="str">
        <f>"HSH2D"</f>
        <v>HSH2D</v>
      </c>
      <c r="B7401" t="s">
        <v>6</v>
      </c>
    </row>
    <row r="7402" spans="1:2" x14ac:dyDescent="0.2">
      <c r="A7402" t="str">
        <f>"HSP90AA1"</f>
        <v>HSP90AA1</v>
      </c>
      <c r="B7402" t="s">
        <v>2</v>
      </c>
    </row>
    <row r="7403" spans="1:2" x14ac:dyDescent="0.2">
      <c r="A7403" t="str">
        <f>"HSP90AB1"</f>
        <v>HSP90AB1</v>
      </c>
      <c r="B7403" t="s">
        <v>2</v>
      </c>
    </row>
    <row r="7404" spans="1:2" x14ac:dyDescent="0.2">
      <c r="A7404" t="str">
        <f>"HSP90B1"</f>
        <v>HSP90B1</v>
      </c>
      <c r="B7404" t="s">
        <v>2</v>
      </c>
    </row>
    <row r="7405" spans="1:2" x14ac:dyDescent="0.2">
      <c r="A7405" t="str">
        <f>"HSPA12A"</f>
        <v>HSPA12A</v>
      </c>
      <c r="B7405" t="s">
        <v>2</v>
      </c>
    </row>
    <row r="7406" spans="1:2" x14ac:dyDescent="0.2">
      <c r="A7406" t="str">
        <f>"HSPA12B"</f>
        <v>HSPA12B</v>
      </c>
      <c r="B7406" t="s">
        <v>2</v>
      </c>
    </row>
    <row r="7407" spans="1:2" x14ac:dyDescent="0.2">
      <c r="A7407" t="str">
        <f>"HSPA13"</f>
        <v>HSPA13</v>
      </c>
      <c r="B7407" t="s">
        <v>2</v>
      </c>
    </row>
    <row r="7408" spans="1:2" x14ac:dyDescent="0.2">
      <c r="A7408" t="str">
        <f>"HSPA14"</f>
        <v>HSPA14</v>
      </c>
      <c r="B7408" t="s">
        <v>2</v>
      </c>
    </row>
    <row r="7409" spans="1:2" x14ac:dyDescent="0.2">
      <c r="A7409" t="str">
        <f>"HSPA1A"</f>
        <v>HSPA1A</v>
      </c>
      <c r="B7409" t="s">
        <v>2</v>
      </c>
    </row>
    <row r="7410" spans="1:2" x14ac:dyDescent="0.2">
      <c r="A7410" t="str">
        <f>"HSPA1B"</f>
        <v>HSPA1B</v>
      </c>
      <c r="B7410" t="s">
        <v>2</v>
      </c>
    </row>
    <row r="7411" spans="1:2" x14ac:dyDescent="0.2">
      <c r="A7411" t="str">
        <f>"HSPA1L"</f>
        <v>HSPA1L</v>
      </c>
      <c r="B7411" t="s">
        <v>2</v>
      </c>
    </row>
    <row r="7412" spans="1:2" x14ac:dyDescent="0.2">
      <c r="A7412" t="str">
        <f>"HSPA2"</f>
        <v>HSPA2</v>
      </c>
      <c r="B7412" t="s">
        <v>2</v>
      </c>
    </row>
    <row r="7413" spans="1:2" x14ac:dyDescent="0.2">
      <c r="A7413" t="str">
        <f>"HSPA4"</f>
        <v>HSPA4</v>
      </c>
      <c r="B7413" t="s">
        <v>2</v>
      </c>
    </row>
    <row r="7414" spans="1:2" x14ac:dyDescent="0.2">
      <c r="A7414" t="str">
        <f>"HSPA4L"</f>
        <v>HSPA4L</v>
      </c>
      <c r="B7414" t="s">
        <v>2</v>
      </c>
    </row>
    <row r="7415" spans="1:2" x14ac:dyDescent="0.2">
      <c r="A7415" t="str">
        <f>"HSPA5"</f>
        <v>HSPA5</v>
      </c>
      <c r="B7415" t="s">
        <v>2</v>
      </c>
    </row>
    <row r="7416" spans="1:2" x14ac:dyDescent="0.2">
      <c r="A7416" t="str">
        <f>"HSPA6"</f>
        <v>HSPA6</v>
      </c>
      <c r="B7416" t="s">
        <v>2</v>
      </c>
    </row>
    <row r="7417" spans="1:2" x14ac:dyDescent="0.2">
      <c r="A7417" t="str">
        <f>"HSPA8"</f>
        <v>HSPA8</v>
      </c>
      <c r="B7417" t="s">
        <v>2</v>
      </c>
    </row>
    <row r="7418" spans="1:2" x14ac:dyDescent="0.2">
      <c r="A7418" t="str">
        <f>"HSPA9"</f>
        <v>HSPA9</v>
      </c>
      <c r="B7418" t="s">
        <v>2</v>
      </c>
    </row>
    <row r="7419" spans="1:2" x14ac:dyDescent="0.2">
      <c r="A7419" t="str">
        <f>"HSPB1"</f>
        <v>HSPB1</v>
      </c>
      <c r="B7419" t="s">
        <v>2</v>
      </c>
    </row>
    <row r="7420" spans="1:2" x14ac:dyDescent="0.2">
      <c r="A7420" t="str">
        <f>"HSPB11"</f>
        <v>HSPB11</v>
      </c>
      <c r="B7420" t="s">
        <v>2</v>
      </c>
    </row>
    <row r="7421" spans="1:2" x14ac:dyDescent="0.2">
      <c r="A7421" t="str">
        <f>"HSPB2"</f>
        <v>HSPB2</v>
      </c>
      <c r="B7421" t="s">
        <v>2</v>
      </c>
    </row>
    <row r="7422" spans="1:2" x14ac:dyDescent="0.2">
      <c r="A7422" t="str">
        <f>"HSPB3"</f>
        <v>HSPB3</v>
      </c>
      <c r="B7422" t="s">
        <v>2</v>
      </c>
    </row>
    <row r="7423" spans="1:2" x14ac:dyDescent="0.2">
      <c r="A7423" t="str">
        <f>"HSPB6"</f>
        <v>HSPB6</v>
      </c>
      <c r="B7423" t="s">
        <v>2</v>
      </c>
    </row>
    <row r="7424" spans="1:2" x14ac:dyDescent="0.2">
      <c r="A7424" t="str">
        <f>"HSPB7"</f>
        <v>HSPB7</v>
      </c>
      <c r="B7424" t="s">
        <v>2</v>
      </c>
    </row>
    <row r="7425" spans="1:2" x14ac:dyDescent="0.2">
      <c r="A7425" t="str">
        <f>"HSPB8"</f>
        <v>HSPB8</v>
      </c>
      <c r="B7425" t="s">
        <v>2</v>
      </c>
    </row>
    <row r="7426" spans="1:2" x14ac:dyDescent="0.2">
      <c r="A7426" t="str">
        <f>"HSPB9"</f>
        <v>HSPB9</v>
      </c>
      <c r="B7426" t="s">
        <v>2</v>
      </c>
    </row>
    <row r="7427" spans="1:2" x14ac:dyDescent="0.2">
      <c r="A7427" t="str">
        <f>"HSPBAP1"</f>
        <v>HSPBAP1</v>
      </c>
      <c r="B7427" t="s">
        <v>2</v>
      </c>
    </row>
    <row r="7428" spans="1:2" x14ac:dyDescent="0.2">
      <c r="A7428" t="str">
        <f>"HSPBP1"</f>
        <v>HSPBP1</v>
      </c>
      <c r="B7428" t="s">
        <v>2</v>
      </c>
    </row>
    <row r="7429" spans="1:2" x14ac:dyDescent="0.2">
      <c r="A7429" t="str">
        <f>"HSPD1"</f>
        <v>HSPD1</v>
      </c>
      <c r="B7429" t="s">
        <v>2</v>
      </c>
    </row>
    <row r="7430" spans="1:2" x14ac:dyDescent="0.2">
      <c r="A7430" t="str">
        <f>"HSPE1"</f>
        <v>HSPE1</v>
      </c>
      <c r="B7430" t="s">
        <v>2</v>
      </c>
    </row>
    <row r="7431" spans="1:2" x14ac:dyDescent="0.2">
      <c r="A7431" t="str">
        <f>"HSPE1-MOB4"</f>
        <v>HSPE1-MOB4</v>
      </c>
      <c r="B7431" t="s">
        <v>2</v>
      </c>
    </row>
    <row r="7432" spans="1:2" x14ac:dyDescent="0.2">
      <c r="A7432" t="str">
        <f>"HSPG2"</f>
        <v>HSPG2</v>
      </c>
      <c r="B7432" t="s">
        <v>7</v>
      </c>
    </row>
    <row r="7433" spans="1:2" x14ac:dyDescent="0.2">
      <c r="A7433" t="str">
        <f>"HSPH1"</f>
        <v>HSPH1</v>
      </c>
      <c r="B7433" t="s">
        <v>2</v>
      </c>
    </row>
    <row r="7434" spans="1:2" x14ac:dyDescent="0.2">
      <c r="A7434" t="str">
        <f>"HTATIP2"</f>
        <v>HTATIP2</v>
      </c>
      <c r="B7434" t="s">
        <v>3</v>
      </c>
    </row>
    <row r="7435" spans="1:2" x14ac:dyDescent="0.2">
      <c r="A7435" t="str">
        <f>"HTATSF1"</f>
        <v>HTATSF1</v>
      </c>
      <c r="B7435" t="s">
        <v>3</v>
      </c>
    </row>
    <row r="7436" spans="1:2" x14ac:dyDescent="0.2">
      <c r="A7436" t="str">
        <f>"HTN1"</f>
        <v>HTN1</v>
      </c>
      <c r="B7436" t="s">
        <v>4</v>
      </c>
    </row>
    <row r="7437" spans="1:2" x14ac:dyDescent="0.2">
      <c r="A7437" t="str">
        <f>"HTN3"</f>
        <v>HTN3</v>
      </c>
      <c r="B7437" t="s">
        <v>4</v>
      </c>
    </row>
    <row r="7438" spans="1:2" x14ac:dyDescent="0.2">
      <c r="A7438" t="str">
        <f>"HTR1A"</f>
        <v>HTR1A</v>
      </c>
      <c r="B7438" t="s">
        <v>7</v>
      </c>
    </row>
    <row r="7439" spans="1:2" x14ac:dyDescent="0.2">
      <c r="A7439" t="str">
        <f>"HTR1B"</f>
        <v>HTR1B</v>
      </c>
      <c r="B7439" t="s">
        <v>7</v>
      </c>
    </row>
    <row r="7440" spans="1:2" x14ac:dyDescent="0.2">
      <c r="A7440" t="str">
        <f>"HTR1D"</f>
        <v>HTR1D</v>
      </c>
      <c r="B7440" t="s">
        <v>7</v>
      </c>
    </row>
    <row r="7441" spans="1:2" x14ac:dyDescent="0.2">
      <c r="A7441" t="str">
        <f>"HTR1E"</f>
        <v>HTR1E</v>
      </c>
      <c r="B7441" t="s">
        <v>7</v>
      </c>
    </row>
    <row r="7442" spans="1:2" x14ac:dyDescent="0.2">
      <c r="A7442" t="str">
        <f>"HTR1F"</f>
        <v>HTR1F</v>
      </c>
      <c r="B7442" t="s">
        <v>7</v>
      </c>
    </row>
    <row r="7443" spans="1:2" x14ac:dyDescent="0.2">
      <c r="A7443" t="str">
        <f>"HTR2A"</f>
        <v>HTR2A</v>
      </c>
      <c r="B7443" t="s">
        <v>7</v>
      </c>
    </row>
    <row r="7444" spans="1:2" x14ac:dyDescent="0.2">
      <c r="A7444" t="str">
        <f>"HTR2B"</f>
        <v>HTR2B</v>
      </c>
      <c r="B7444" t="s">
        <v>7</v>
      </c>
    </row>
    <row r="7445" spans="1:2" x14ac:dyDescent="0.2">
      <c r="A7445" t="str">
        <f>"HTR2C"</f>
        <v>HTR2C</v>
      </c>
      <c r="B7445" t="s">
        <v>7</v>
      </c>
    </row>
    <row r="7446" spans="1:2" x14ac:dyDescent="0.2">
      <c r="A7446" t="str">
        <f>"HTR3A"</f>
        <v>HTR3A</v>
      </c>
      <c r="B7446" t="s">
        <v>7</v>
      </c>
    </row>
    <row r="7447" spans="1:2" x14ac:dyDescent="0.2">
      <c r="A7447" t="str">
        <f>"HTR3B"</f>
        <v>HTR3B</v>
      </c>
      <c r="B7447" t="s">
        <v>5</v>
      </c>
    </row>
    <row r="7448" spans="1:2" x14ac:dyDescent="0.2">
      <c r="A7448" t="str">
        <f>"HTR3C"</f>
        <v>HTR3C</v>
      </c>
      <c r="B7448" t="s">
        <v>5</v>
      </c>
    </row>
    <row r="7449" spans="1:2" x14ac:dyDescent="0.2">
      <c r="A7449" t="str">
        <f>"HTR3D"</f>
        <v>HTR3D</v>
      </c>
      <c r="B7449" t="s">
        <v>5</v>
      </c>
    </row>
    <row r="7450" spans="1:2" x14ac:dyDescent="0.2">
      <c r="A7450" t="str">
        <f>"HTR3E"</f>
        <v>HTR3E</v>
      </c>
      <c r="B7450" t="s">
        <v>5</v>
      </c>
    </row>
    <row r="7451" spans="1:2" x14ac:dyDescent="0.2">
      <c r="A7451" t="str">
        <f>"HTR4"</f>
        <v>HTR4</v>
      </c>
      <c r="B7451" t="s">
        <v>7</v>
      </c>
    </row>
    <row r="7452" spans="1:2" x14ac:dyDescent="0.2">
      <c r="A7452" t="str">
        <f>"HTR5A"</f>
        <v>HTR5A</v>
      </c>
      <c r="B7452" t="s">
        <v>8</v>
      </c>
    </row>
    <row r="7453" spans="1:2" x14ac:dyDescent="0.2">
      <c r="A7453" t="str">
        <f>"HTR6"</f>
        <v>HTR6</v>
      </c>
      <c r="B7453" t="s">
        <v>7</v>
      </c>
    </row>
    <row r="7454" spans="1:2" x14ac:dyDescent="0.2">
      <c r="A7454" t="str">
        <f>"HTR7"</f>
        <v>HTR7</v>
      </c>
      <c r="B7454" t="s">
        <v>7</v>
      </c>
    </row>
    <row r="7455" spans="1:2" x14ac:dyDescent="0.2">
      <c r="A7455" t="str">
        <f>"HTRA1"</f>
        <v>HTRA1</v>
      </c>
      <c r="B7455" t="s">
        <v>2</v>
      </c>
    </row>
    <row r="7456" spans="1:2" x14ac:dyDescent="0.2">
      <c r="A7456" t="str">
        <f>"HTRA2"</f>
        <v>HTRA2</v>
      </c>
      <c r="B7456" t="s">
        <v>2</v>
      </c>
    </row>
    <row r="7457" spans="1:2" x14ac:dyDescent="0.2">
      <c r="A7457" t="str">
        <f>"HTRA3"</f>
        <v>HTRA3</v>
      </c>
      <c r="B7457" t="s">
        <v>2</v>
      </c>
    </row>
    <row r="7458" spans="1:2" x14ac:dyDescent="0.2">
      <c r="A7458" t="str">
        <f>"HTRA4"</f>
        <v>HTRA4</v>
      </c>
      <c r="B7458" t="s">
        <v>2</v>
      </c>
    </row>
    <row r="7459" spans="1:2" x14ac:dyDescent="0.2">
      <c r="A7459" t="str">
        <f>"HTT"</f>
        <v>HTT</v>
      </c>
      <c r="B7459" t="s">
        <v>2</v>
      </c>
    </row>
    <row r="7460" spans="1:2" x14ac:dyDescent="0.2">
      <c r="A7460" t="str">
        <f>"HUNK"</f>
        <v>HUNK</v>
      </c>
      <c r="B7460" t="s">
        <v>7</v>
      </c>
    </row>
    <row r="7461" spans="1:2" x14ac:dyDescent="0.2">
      <c r="A7461" t="str">
        <f>"HUS1"</f>
        <v>HUS1</v>
      </c>
      <c r="B7461" t="s">
        <v>3</v>
      </c>
    </row>
    <row r="7462" spans="1:2" x14ac:dyDescent="0.2">
      <c r="A7462" t="str">
        <f>"HUS1B"</f>
        <v>HUS1B</v>
      </c>
      <c r="B7462" t="s">
        <v>3</v>
      </c>
    </row>
    <row r="7463" spans="1:2" x14ac:dyDescent="0.2">
      <c r="A7463" t="str">
        <f>"HUWE1"</f>
        <v>HUWE1</v>
      </c>
      <c r="B7463" t="s">
        <v>3</v>
      </c>
    </row>
    <row r="7464" spans="1:2" x14ac:dyDescent="0.2">
      <c r="A7464" t="str">
        <f>"HVCN1"</f>
        <v>HVCN1</v>
      </c>
      <c r="B7464" t="s">
        <v>6</v>
      </c>
    </row>
    <row r="7465" spans="1:2" x14ac:dyDescent="0.2">
      <c r="A7465" t="str">
        <f>"HYAL1"</f>
        <v>HYAL1</v>
      </c>
      <c r="B7465" t="s">
        <v>2</v>
      </c>
    </row>
    <row r="7466" spans="1:2" x14ac:dyDescent="0.2">
      <c r="A7466" t="str">
        <f>"HYAL2"</f>
        <v>HYAL2</v>
      </c>
      <c r="B7466" t="s">
        <v>2</v>
      </c>
    </row>
    <row r="7467" spans="1:2" x14ac:dyDescent="0.2">
      <c r="A7467" t="str">
        <f>"HYAL3"</f>
        <v>HYAL3</v>
      </c>
      <c r="B7467" t="s">
        <v>2</v>
      </c>
    </row>
    <row r="7468" spans="1:2" x14ac:dyDescent="0.2">
      <c r="A7468" t="str">
        <f>"HYAL4"</f>
        <v>HYAL4</v>
      </c>
      <c r="B7468" t="s">
        <v>5</v>
      </c>
    </row>
    <row r="7469" spans="1:2" x14ac:dyDescent="0.2">
      <c r="A7469" t="str">
        <f>"HYDIN"</f>
        <v>HYDIN</v>
      </c>
      <c r="B7469" t="s">
        <v>4</v>
      </c>
    </row>
    <row r="7470" spans="1:2" x14ac:dyDescent="0.2">
      <c r="A7470" t="str">
        <f>"HYI"</f>
        <v>HYI</v>
      </c>
      <c r="B7470" t="s">
        <v>3</v>
      </c>
    </row>
    <row r="7471" spans="1:2" x14ac:dyDescent="0.2">
      <c r="A7471" t="str">
        <f>"HYKK"</f>
        <v>HYKK</v>
      </c>
      <c r="B7471" t="s">
        <v>4</v>
      </c>
    </row>
    <row r="7472" spans="1:2" x14ac:dyDescent="0.2">
      <c r="A7472" t="str">
        <f>"HYLS1"</f>
        <v>HYLS1</v>
      </c>
      <c r="B7472" t="s">
        <v>4</v>
      </c>
    </row>
    <row r="7473" spans="1:2" x14ac:dyDescent="0.2">
      <c r="A7473" t="str">
        <f>"HYOU1"</f>
        <v>HYOU1</v>
      </c>
      <c r="B7473" t="s">
        <v>2</v>
      </c>
    </row>
    <row r="7474" spans="1:2" x14ac:dyDescent="0.2">
      <c r="A7474" t="str">
        <f>"HYPK"</f>
        <v>HYPK</v>
      </c>
      <c r="B7474" t="s">
        <v>4</v>
      </c>
    </row>
    <row r="7475" spans="1:2" x14ac:dyDescent="0.2">
      <c r="A7475" t="str">
        <f>"IAH1"</f>
        <v>IAH1</v>
      </c>
      <c r="B7475" t="s">
        <v>2</v>
      </c>
    </row>
    <row r="7476" spans="1:2" x14ac:dyDescent="0.2">
      <c r="A7476" t="str">
        <f>"IAPP"</f>
        <v>IAPP</v>
      </c>
      <c r="B7476" t="s">
        <v>2</v>
      </c>
    </row>
    <row r="7477" spans="1:2" x14ac:dyDescent="0.2">
      <c r="A7477" t="str">
        <f>"IARS"</f>
        <v>IARS</v>
      </c>
      <c r="B7477" t="s">
        <v>7</v>
      </c>
    </row>
    <row r="7478" spans="1:2" x14ac:dyDescent="0.2">
      <c r="A7478" t="str">
        <f>"IARS2"</f>
        <v>IARS2</v>
      </c>
      <c r="B7478" t="s">
        <v>7</v>
      </c>
    </row>
    <row r="7479" spans="1:2" x14ac:dyDescent="0.2">
      <c r="A7479" t="str">
        <f>"IBA57"</f>
        <v>IBA57</v>
      </c>
      <c r="B7479" t="s">
        <v>6</v>
      </c>
    </row>
    <row r="7480" spans="1:2" x14ac:dyDescent="0.2">
      <c r="A7480" t="str">
        <f>"IBSP"</f>
        <v>IBSP</v>
      </c>
      <c r="B7480" t="s">
        <v>4</v>
      </c>
    </row>
    <row r="7481" spans="1:2" x14ac:dyDescent="0.2">
      <c r="A7481" t="str">
        <f>"IBTK"</f>
        <v>IBTK</v>
      </c>
      <c r="B7481" t="s">
        <v>7</v>
      </c>
    </row>
    <row r="7482" spans="1:2" x14ac:dyDescent="0.2">
      <c r="A7482" t="str">
        <f>"ICA1"</f>
        <v>ICA1</v>
      </c>
      <c r="B7482" t="s">
        <v>2</v>
      </c>
    </row>
    <row r="7483" spans="1:2" x14ac:dyDescent="0.2">
      <c r="A7483" t="str">
        <f>"ICA1L"</f>
        <v>ICA1L</v>
      </c>
      <c r="B7483" t="s">
        <v>4</v>
      </c>
    </row>
    <row r="7484" spans="1:2" x14ac:dyDescent="0.2">
      <c r="A7484" t="str">
        <f>"ICAM1"</f>
        <v>ICAM1</v>
      </c>
      <c r="B7484" t="s">
        <v>3</v>
      </c>
    </row>
    <row r="7485" spans="1:2" x14ac:dyDescent="0.2">
      <c r="A7485" t="str">
        <f>"ICAM2"</f>
        <v>ICAM2</v>
      </c>
      <c r="B7485" t="s">
        <v>5</v>
      </c>
    </row>
    <row r="7486" spans="1:2" x14ac:dyDescent="0.2">
      <c r="A7486" t="str">
        <f>"ICAM3"</f>
        <v>ICAM3</v>
      </c>
      <c r="B7486" t="s">
        <v>3</v>
      </c>
    </row>
    <row r="7487" spans="1:2" x14ac:dyDescent="0.2">
      <c r="A7487" t="str">
        <f>"ICAM4"</f>
        <v>ICAM4</v>
      </c>
      <c r="B7487" t="s">
        <v>5</v>
      </c>
    </row>
    <row r="7488" spans="1:2" x14ac:dyDescent="0.2">
      <c r="A7488" t="str">
        <f>"ICAM5"</f>
        <v>ICAM5</v>
      </c>
      <c r="B7488" t="s">
        <v>3</v>
      </c>
    </row>
    <row r="7489" spans="1:2" x14ac:dyDescent="0.2">
      <c r="A7489" t="str">
        <f>"ICK"</f>
        <v>ICK</v>
      </c>
      <c r="B7489" t="s">
        <v>7</v>
      </c>
    </row>
    <row r="7490" spans="1:2" x14ac:dyDescent="0.2">
      <c r="A7490" t="str">
        <f>"ICMT"</f>
        <v>ICMT</v>
      </c>
      <c r="B7490" t="s">
        <v>2</v>
      </c>
    </row>
    <row r="7491" spans="1:2" x14ac:dyDescent="0.2">
      <c r="A7491" t="str">
        <f>"ICOS"</f>
        <v>ICOS</v>
      </c>
      <c r="B7491" t="s">
        <v>5</v>
      </c>
    </row>
    <row r="7492" spans="1:2" x14ac:dyDescent="0.2">
      <c r="A7492" t="str">
        <f>"ICOSLG"</f>
        <v>ICOSLG</v>
      </c>
      <c r="B7492" t="s">
        <v>5</v>
      </c>
    </row>
    <row r="7493" spans="1:2" x14ac:dyDescent="0.2">
      <c r="A7493" t="str">
        <f>"ICT1"</f>
        <v>ICT1</v>
      </c>
      <c r="B7493" t="s">
        <v>6</v>
      </c>
    </row>
    <row r="7494" spans="1:2" x14ac:dyDescent="0.2">
      <c r="A7494" t="str">
        <f>"ID1"</f>
        <v>ID1</v>
      </c>
      <c r="B7494" t="s">
        <v>3</v>
      </c>
    </row>
    <row r="7495" spans="1:2" x14ac:dyDescent="0.2">
      <c r="A7495" t="str">
        <f>"ID2"</f>
        <v>ID2</v>
      </c>
      <c r="B7495" t="s">
        <v>3</v>
      </c>
    </row>
    <row r="7496" spans="1:2" x14ac:dyDescent="0.2">
      <c r="A7496" t="str">
        <f>"ID3"</f>
        <v>ID3</v>
      </c>
      <c r="B7496" t="s">
        <v>8</v>
      </c>
    </row>
    <row r="7497" spans="1:2" x14ac:dyDescent="0.2">
      <c r="A7497" t="str">
        <f>"ID4"</f>
        <v>ID4</v>
      </c>
      <c r="B7497" t="s">
        <v>3</v>
      </c>
    </row>
    <row r="7498" spans="1:2" x14ac:dyDescent="0.2">
      <c r="A7498" t="str">
        <f>"IDE"</f>
        <v>IDE</v>
      </c>
      <c r="B7498" t="s">
        <v>7</v>
      </c>
    </row>
    <row r="7499" spans="1:2" x14ac:dyDescent="0.2">
      <c r="A7499" t="str">
        <f>"IDH1"</f>
        <v>IDH1</v>
      </c>
      <c r="B7499" t="s">
        <v>3</v>
      </c>
    </row>
    <row r="7500" spans="1:2" x14ac:dyDescent="0.2">
      <c r="A7500" t="str">
        <f>"IDH2"</f>
        <v>IDH2</v>
      </c>
      <c r="B7500" t="s">
        <v>3</v>
      </c>
    </row>
    <row r="7501" spans="1:2" x14ac:dyDescent="0.2">
      <c r="A7501" t="str">
        <f>"IDH3A"</f>
        <v>IDH3A</v>
      </c>
      <c r="B7501" t="s">
        <v>7</v>
      </c>
    </row>
    <row r="7502" spans="1:2" x14ac:dyDescent="0.2">
      <c r="A7502" t="str">
        <f>"IDH3B"</f>
        <v>IDH3B</v>
      </c>
      <c r="B7502" t="s">
        <v>7</v>
      </c>
    </row>
    <row r="7503" spans="1:2" x14ac:dyDescent="0.2">
      <c r="A7503" t="str">
        <f>"IDH3G"</f>
        <v>IDH3G</v>
      </c>
      <c r="B7503" t="s">
        <v>7</v>
      </c>
    </row>
    <row r="7504" spans="1:2" x14ac:dyDescent="0.2">
      <c r="A7504" t="str">
        <f>"IDI1"</f>
        <v>IDI1</v>
      </c>
      <c r="B7504" t="s">
        <v>3</v>
      </c>
    </row>
    <row r="7505" spans="1:2" x14ac:dyDescent="0.2">
      <c r="A7505" t="str">
        <f>"IDI2"</f>
        <v>IDI2</v>
      </c>
      <c r="B7505" t="s">
        <v>3</v>
      </c>
    </row>
    <row r="7506" spans="1:2" x14ac:dyDescent="0.2">
      <c r="A7506" t="str">
        <f>"IDNK"</f>
        <v>IDNK</v>
      </c>
      <c r="B7506" t="s">
        <v>4</v>
      </c>
    </row>
    <row r="7507" spans="1:2" x14ac:dyDescent="0.2">
      <c r="A7507" t="str">
        <f>"IDO1"</f>
        <v>IDO1</v>
      </c>
      <c r="B7507" t="s">
        <v>3</v>
      </c>
    </row>
    <row r="7508" spans="1:2" x14ac:dyDescent="0.2">
      <c r="A7508" t="str">
        <f>"IDO2"</f>
        <v>IDO2</v>
      </c>
      <c r="B7508" t="s">
        <v>3</v>
      </c>
    </row>
    <row r="7509" spans="1:2" x14ac:dyDescent="0.2">
      <c r="A7509" t="str">
        <f>"IDS"</f>
        <v>IDS</v>
      </c>
      <c r="B7509" t="s">
        <v>2</v>
      </c>
    </row>
    <row r="7510" spans="1:2" x14ac:dyDescent="0.2">
      <c r="A7510" t="str">
        <f>"IDUA"</f>
        <v>IDUA</v>
      </c>
      <c r="B7510" t="s">
        <v>3</v>
      </c>
    </row>
    <row r="7511" spans="1:2" x14ac:dyDescent="0.2">
      <c r="A7511" t="str">
        <f>"IER2"</f>
        <v>IER2</v>
      </c>
      <c r="B7511" t="s">
        <v>4</v>
      </c>
    </row>
    <row r="7512" spans="1:2" x14ac:dyDescent="0.2">
      <c r="A7512" t="str">
        <f>"IER3"</f>
        <v>IER3</v>
      </c>
      <c r="B7512" t="s">
        <v>3</v>
      </c>
    </row>
    <row r="7513" spans="1:2" x14ac:dyDescent="0.2">
      <c r="A7513" t="str">
        <f>"IER3IP1"</f>
        <v>IER3IP1</v>
      </c>
      <c r="B7513" t="s">
        <v>6</v>
      </c>
    </row>
    <row r="7514" spans="1:2" x14ac:dyDescent="0.2">
      <c r="A7514" t="str">
        <f>"IER5"</f>
        <v>IER5</v>
      </c>
      <c r="B7514" t="s">
        <v>4</v>
      </c>
    </row>
    <row r="7515" spans="1:2" x14ac:dyDescent="0.2">
      <c r="A7515" t="str">
        <f>"IER5L"</f>
        <v>IER5L</v>
      </c>
      <c r="B7515" t="s">
        <v>3</v>
      </c>
    </row>
    <row r="7516" spans="1:2" x14ac:dyDescent="0.2">
      <c r="A7516" t="str">
        <f>"IFFO1"</f>
        <v>IFFO1</v>
      </c>
      <c r="B7516" t="s">
        <v>5</v>
      </c>
    </row>
    <row r="7517" spans="1:2" x14ac:dyDescent="0.2">
      <c r="A7517" t="str">
        <f>"IFFO2"</f>
        <v>IFFO2</v>
      </c>
      <c r="B7517" t="s">
        <v>4</v>
      </c>
    </row>
    <row r="7518" spans="1:2" x14ac:dyDescent="0.2">
      <c r="A7518" t="str">
        <f>"IFI16"</f>
        <v>IFI16</v>
      </c>
      <c r="B7518" t="s">
        <v>3</v>
      </c>
    </row>
    <row r="7519" spans="1:2" x14ac:dyDescent="0.2">
      <c r="A7519" t="str">
        <f>"IFI27"</f>
        <v>IFI27</v>
      </c>
      <c r="B7519" t="s">
        <v>6</v>
      </c>
    </row>
    <row r="7520" spans="1:2" x14ac:dyDescent="0.2">
      <c r="A7520" t="str">
        <f>"IFI27L1"</f>
        <v>IFI27L1</v>
      </c>
      <c r="B7520" t="s">
        <v>5</v>
      </c>
    </row>
    <row r="7521" spans="1:2" x14ac:dyDescent="0.2">
      <c r="A7521" t="str">
        <f>"IFI27L2"</f>
        <v>IFI27L2</v>
      </c>
      <c r="B7521" t="s">
        <v>4</v>
      </c>
    </row>
    <row r="7522" spans="1:2" x14ac:dyDescent="0.2">
      <c r="A7522" t="str">
        <f>"IFI30"</f>
        <v>IFI30</v>
      </c>
      <c r="B7522" t="s">
        <v>2</v>
      </c>
    </row>
    <row r="7523" spans="1:2" x14ac:dyDescent="0.2">
      <c r="A7523" t="str">
        <f>"IFI35"</f>
        <v>IFI35</v>
      </c>
      <c r="B7523" t="s">
        <v>2</v>
      </c>
    </row>
    <row r="7524" spans="1:2" x14ac:dyDescent="0.2">
      <c r="A7524" t="str">
        <f>"IFI44"</f>
        <v>IFI44</v>
      </c>
      <c r="B7524" t="s">
        <v>4</v>
      </c>
    </row>
    <row r="7525" spans="1:2" x14ac:dyDescent="0.2">
      <c r="A7525" t="str">
        <f>"IFI44L"</f>
        <v>IFI44L</v>
      </c>
      <c r="B7525" t="s">
        <v>2</v>
      </c>
    </row>
    <row r="7526" spans="1:2" x14ac:dyDescent="0.2">
      <c r="A7526" t="str">
        <f>"IFI6"</f>
        <v>IFI6</v>
      </c>
      <c r="B7526" t="s">
        <v>3</v>
      </c>
    </row>
    <row r="7527" spans="1:2" x14ac:dyDescent="0.2">
      <c r="A7527" t="str">
        <f>"IFIH1"</f>
        <v>IFIH1</v>
      </c>
      <c r="B7527" t="s">
        <v>8</v>
      </c>
    </row>
    <row r="7528" spans="1:2" x14ac:dyDescent="0.2">
      <c r="A7528" t="str">
        <f>"IFIT1"</f>
        <v>IFIT1</v>
      </c>
      <c r="B7528" t="s">
        <v>4</v>
      </c>
    </row>
    <row r="7529" spans="1:2" x14ac:dyDescent="0.2">
      <c r="A7529" t="str">
        <f>"IFIT1B"</f>
        <v>IFIT1B</v>
      </c>
      <c r="B7529" t="s">
        <v>2</v>
      </c>
    </row>
    <row r="7530" spans="1:2" x14ac:dyDescent="0.2">
      <c r="A7530" t="str">
        <f>"IFIT2"</f>
        <v>IFIT2</v>
      </c>
      <c r="B7530" t="s">
        <v>4</v>
      </c>
    </row>
    <row r="7531" spans="1:2" x14ac:dyDescent="0.2">
      <c r="A7531" t="str">
        <f>"IFIT3"</f>
        <v>IFIT3</v>
      </c>
      <c r="B7531" t="s">
        <v>2</v>
      </c>
    </row>
    <row r="7532" spans="1:2" x14ac:dyDescent="0.2">
      <c r="A7532" t="str">
        <f>"IFIT5"</f>
        <v>IFIT5</v>
      </c>
      <c r="B7532" t="s">
        <v>4</v>
      </c>
    </row>
    <row r="7533" spans="1:2" x14ac:dyDescent="0.2">
      <c r="A7533" t="str">
        <f>"IFITM1"</f>
        <v>IFITM1</v>
      </c>
      <c r="B7533" t="s">
        <v>5</v>
      </c>
    </row>
    <row r="7534" spans="1:2" x14ac:dyDescent="0.2">
      <c r="A7534" t="str">
        <f>"IFITM10"</f>
        <v>IFITM10</v>
      </c>
      <c r="B7534" t="s">
        <v>4</v>
      </c>
    </row>
    <row r="7535" spans="1:2" x14ac:dyDescent="0.2">
      <c r="A7535" t="str">
        <f>"IFITM2"</f>
        <v>IFITM2</v>
      </c>
      <c r="B7535" t="s">
        <v>5</v>
      </c>
    </row>
    <row r="7536" spans="1:2" x14ac:dyDescent="0.2">
      <c r="A7536" t="str">
        <f>"IFITM3"</f>
        <v>IFITM3</v>
      </c>
      <c r="B7536" t="s">
        <v>2</v>
      </c>
    </row>
    <row r="7537" spans="1:2" x14ac:dyDescent="0.2">
      <c r="A7537" t="str">
        <f>"IFITM5"</f>
        <v>IFITM5</v>
      </c>
      <c r="B7537" t="s">
        <v>5</v>
      </c>
    </row>
    <row r="7538" spans="1:2" x14ac:dyDescent="0.2">
      <c r="A7538" t="str">
        <f>"IFLTD1"</f>
        <v>IFLTD1</v>
      </c>
      <c r="B7538" t="s">
        <v>4</v>
      </c>
    </row>
    <row r="7539" spans="1:2" x14ac:dyDescent="0.2">
      <c r="A7539" t="str">
        <f>"IFNA1"</f>
        <v>IFNA1</v>
      </c>
      <c r="B7539" t="s">
        <v>4</v>
      </c>
    </row>
    <row r="7540" spans="1:2" x14ac:dyDescent="0.2">
      <c r="A7540" t="str">
        <f>"IFNA13"</f>
        <v>IFNA13</v>
      </c>
      <c r="B7540" t="s">
        <v>2</v>
      </c>
    </row>
    <row r="7541" spans="1:2" x14ac:dyDescent="0.2">
      <c r="A7541" t="str">
        <f>"IFNA14"</f>
        <v>IFNA14</v>
      </c>
      <c r="B7541" t="s">
        <v>2</v>
      </c>
    </row>
    <row r="7542" spans="1:2" x14ac:dyDescent="0.2">
      <c r="A7542" t="str">
        <f>"IFNA16"</f>
        <v>IFNA16</v>
      </c>
      <c r="B7542" t="s">
        <v>2</v>
      </c>
    </row>
    <row r="7543" spans="1:2" x14ac:dyDescent="0.2">
      <c r="A7543" t="str">
        <f>"IFNA2"</f>
        <v>IFNA2</v>
      </c>
      <c r="B7543" t="s">
        <v>3</v>
      </c>
    </row>
    <row r="7544" spans="1:2" x14ac:dyDescent="0.2">
      <c r="A7544" t="str">
        <f>"IFNA5"</f>
        <v>IFNA5</v>
      </c>
      <c r="B7544" t="s">
        <v>2</v>
      </c>
    </row>
    <row r="7545" spans="1:2" x14ac:dyDescent="0.2">
      <c r="A7545" t="str">
        <f>"IFNA6"</f>
        <v>IFNA6</v>
      </c>
      <c r="B7545" t="s">
        <v>2</v>
      </c>
    </row>
    <row r="7546" spans="1:2" x14ac:dyDescent="0.2">
      <c r="A7546" t="str">
        <f>"IFNA7"</f>
        <v>IFNA7</v>
      </c>
      <c r="B7546" t="s">
        <v>2</v>
      </c>
    </row>
    <row r="7547" spans="1:2" x14ac:dyDescent="0.2">
      <c r="A7547" t="str">
        <f>"IFNA8"</f>
        <v>IFNA8</v>
      </c>
      <c r="B7547" t="s">
        <v>2</v>
      </c>
    </row>
    <row r="7548" spans="1:2" x14ac:dyDescent="0.2">
      <c r="A7548" t="str">
        <f>"IFNAR1"</f>
        <v>IFNAR1</v>
      </c>
      <c r="B7548" t="s">
        <v>3</v>
      </c>
    </row>
    <row r="7549" spans="1:2" x14ac:dyDescent="0.2">
      <c r="A7549" t="str">
        <f>"IFNAR2"</f>
        <v>IFNAR2</v>
      </c>
      <c r="B7549" t="s">
        <v>7</v>
      </c>
    </row>
    <row r="7550" spans="1:2" x14ac:dyDescent="0.2">
      <c r="A7550" t="str">
        <f>"IFNB1"</f>
        <v>IFNB1</v>
      </c>
      <c r="B7550" t="s">
        <v>3</v>
      </c>
    </row>
    <row r="7551" spans="1:2" x14ac:dyDescent="0.2">
      <c r="A7551" t="str">
        <f>"IFNE"</f>
        <v>IFNE</v>
      </c>
      <c r="B7551" t="s">
        <v>4</v>
      </c>
    </row>
    <row r="7552" spans="1:2" x14ac:dyDescent="0.2">
      <c r="A7552" t="str">
        <f>"IFNG"</f>
        <v>IFNG</v>
      </c>
      <c r="B7552" t="s">
        <v>3</v>
      </c>
    </row>
    <row r="7553" spans="1:2" x14ac:dyDescent="0.2">
      <c r="A7553" t="str">
        <f>"IFNGR1"</f>
        <v>IFNGR1</v>
      </c>
      <c r="B7553" t="s">
        <v>7</v>
      </c>
    </row>
    <row r="7554" spans="1:2" x14ac:dyDescent="0.2">
      <c r="A7554" t="str">
        <f>"IFNGR2"</f>
        <v>IFNGR2</v>
      </c>
      <c r="B7554" t="s">
        <v>7</v>
      </c>
    </row>
    <row r="7555" spans="1:2" x14ac:dyDescent="0.2">
      <c r="A7555" t="str">
        <f>"IFNK"</f>
        <v>IFNK</v>
      </c>
      <c r="B7555" t="s">
        <v>5</v>
      </c>
    </row>
    <row r="7556" spans="1:2" x14ac:dyDescent="0.2">
      <c r="A7556" t="str">
        <f>"IFNL1"</f>
        <v>IFNL1</v>
      </c>
      <c r="B7556" t="s">
        <v>4</v>
      </c>
    </row>
    <row r="7557" spans="1:2" x14ac:dyDescent="0.2">
      <c r="A7557" t="str">
        <f>"IFNL2"</f>
        <v>IFNL2</v>
      </c>
      <c r="B7557" t="s">
        <v>4</v>
      </c>
    </row>
    <row r="7558" spans="1:2" x14ac:dyDescent="0.2">
      <c r="A7558" t="str">
        <f>"IFNL3"</f>
        <v>IFNL3</v>
      </c>
      <c r="B7558" t="s">
        <v>4</v>
      </c>
    </row>
    <row r="7559" spans="1:2" x14ac:dyDescent="0.2">
      <c r="A7559" t="str">
        <f>"IFNL4"</f>
        <v>IFNL4</v>
      </c>
      <c r="B7559" t="s">
        <v>4</v>
      </c>
    </row>
    <row r="7560" spans="1:2" x14ac:dyDescent="0.2">
      <c r="A7560" t="str">
        <f>"IFNLR1"</f>
        <v>IFNLR1</v>
      </c>
      <c r="B7560" t="s">
        <v>5</v>
      </c>
    </row>
    <row r="7561" spans="1:2" x14ac:dyDescent="0.2">
      <c r="A7561" t="str">
        <f>"IFNW1"</f>
        <v>IFNW1</v>
      </c>
      <c r="B7561" t="s">
        <v>3</v>
      </c>
    </row>
    <row r="7562" spans="1:2" x14ac:dyDescent="0.2">
      <c r="A7562" t="str">
        <f>"IFRD1"</f>
        <v>IFRD1</v>
      </c>
      <c r="B7562" t="s">
        <v>5</v>
      </c>
    </row>
    <row r="7563" spans="1:2" x14ac:dyDescent="0.2">
      <c r="A7563" t="str">
        <f>"IFRD2"</f>
        <v>IFRD2</v>
      </c>
      <c r="B7563" t="s">
        <v>4</v>
      </c>
    </row>
    <row r="7564" spans="1:2" x14ac:dyDescent="0.2">
      <c r="A7564" t="str">
        <f>"IFT122"</f>
        <v>IFT122</v>
      </c>
      <c r="B7564" t="s">
        <v>2</v>
      </c>
    </row>
    <row r="7565" spans="1:2" x14ac:dyDescent="0.2">
      <c r="A7565" t="str">
        <f>"IFT140"</f>
        <v>IFT140</v>
      </c>
      <c r="B7565" t="s">
        <v>5</v>
      </c>
    </row>
    <row r="7566" spans="1:2" x14ac:dyDescent="0.2">
      <c r="A7566" t="str">
        <f>"IFT172"</f>
        <v>IFT172</v>
      </c>
      <c r="B7566" t="s">
        <v>2</v>
      </c>
    </row>
    <row r="7567" spans="1:2" x14ac:dyDescent="0.2">
      <c r="A7567" t="str">
        <f>"IFT20"</f>
        <v>IFT20</v>
      </c>
      <c r="B7567" t="s">
        <v>2</v>
      </c>
    </row>
    <row r="7568" spans="1:2" x14ac:dyDescent="0.2">
      <c r="A7568" t="str">
        <f>"IFT27"</f>
        <v>IFT27</v>
      </c>
      <c r="B7568" t="s">
        <v>6</v>
      </c>
    </row>
    <row r="7569" spans="1:2" x14ac:dyDescent="0.2">
      <c r="A7569" t="str">
        <f>"IFT43"</f>
        <v>IFT43</v>
      </c>
      <c r="B7569" t="s">
        <v>3</v>
      </c>
    </row>
    <row r="7570" spans="1:2" x14ac:dyDescent="0.2">
      <c r="A7570" t="str">
        <f>"IFT46"</f>
        <v>IFT46</v>
      </c>
      <c r="B7570" t="s">
        <v>4</v>
      </c>
    </row>
    <row r="7571" spans="1:2" x14ac:dyDescent="0.2">
      <c r="A7571" t="str">
        <f>"IFT52"</f>
        <v>IFT52</v>
      </c>
      <c r="B7571" t="s">
        <v>2</v>
      </c>
    </row>
    <row r="7572" spans="1:2" x14ac:dyDescent="0.2">
      <c r="A7572" t="str">
        <f>"IFT57"</f>
        <v>IFT57</v>
      </c>
      <c r="B7572" t="s">
        <v>3</v>
      </c>
    </row>
    <row r="7573" spans="1:2" x14ac:dyDescent="0.2">
      <c r="A7573" t="str">
        <f>"IFT74"</f>
        <v>IFT74</v>
      </c>
      <c r="B7573" t="s">
        <v>6</v>
      </c>
    </row>
    <row r="7574" spans="1:2" x14ac:dyDescent="0.2">
      <c r="A7574" t="str">
        <f>"IFT80"</f>
        <v>IFT80</v>
      </c>
      <c r="B7574" t="s">
        <v>4</v>
      </c>
    </row>
    <row r="7575" spans="1:2" x14ac:dyDescent="0.2">
      <c r="A7575" t="str">
        <f>"IFT81"</f>
        <v>IFT81</v>
      </c>
      <c r="B7575" t="s">
        <v>4</v>
      </c>
    </row>
    <row r="7576" spans="1:2" x14ac:dyDescent="0.2">
      <c r="A7576" t="str">
        <f>"IFT88"</f>
        <v>IFT88</v>
      </c>
      <c r="B7576" t="s">
        <v>2</v>
      </c>
    </row>
    <row r="7577" spans="1:2" x14ac:dyDescent="0.2">
      <c r="A7577" t="str">
        <f>"IGBP1"</f>
        <v>IGBP1</v>
      </c>
      <c r="B7577" t="s">
        <v>4</v>
      </c>
    </row>
    <row r="7578" spans="1:2" x14ac:dyDescent="0.2">
      <c r="A7578" t="str">
        <f>"IGDCC3"</f>
        <v>IGDCC3</v>
      </c>
      <c r="B7578" t="s">
        <v>5</v>
      </c>
    </row>
    <row r="7579" spans="1:2" x14ac:dyDescent="0.2">
      <c r="A7579" t="str">
        <f>"IGDCC4"</f>
        <v>IGDCC4</v>
      </c>
      <c r="B7579" t="s">
        <v>5</v>
      </c>
    </row>
    <row r="7580" spans="1:2" x14ac:dyDescent="0.2">
      <c r="A7580" t="str">
        <f>"IGF1"</f>
        <v>IGF1</v>
      </c>
      <c r="B7580" t="s">
        <v>3</v>
      </c>
    </row>
    <row r="7581" spans="1:2" x14ac:dyDescent="0.2">
      <c r="A7581" t="str">
        <f>"IGF1R"</f>
        <v>IGF1R</v>
      </c>
      <c r="B7581" t="s">
        <v>7</v>
      </c>
    </row>
    <row r="7582" spans="1:2" x14ac:dyDescent="0.2">
      <c r="A7582" t="str">
        <f>"IGF2"</f>
        <v>IGF2</v>
      </c>
      <c r="B7582" t="s">
        <v>3</v>
      </c>
    </row>
    <row r="7583" spans="1:2" x14ac:dyDescent="0.2">
      <c r="A7583" t="str">
        <f>"IGF2BP1"</f>
        <v>IGF2BP1</v>
      </c>
      <c r="B7583" t="s">
        <v>3</v>
      </c>
    </row>
    <row r="7584" spans="1:2" x14ac:dyDescent="0.2">
      <c r="A7584" t="str">
        <f>"IGF2BP2"</f>
        <v>IGF2BP2</v>
      </c>
      <c r="B7584" t="s">
        <v>8</v>
      </c>
    </row>
    <row r="7585" spans="1:2" x14ac:dyDescent="0.2">
      <c r="A7585" t="str">
        <f>"IGF2BP3"</f>
        <v>IGF2BP3</v>
      </c>
      <c r="B7585" t="s">
        <v>8</v>
      </c>
    </row>
    <row r="7586" spans="1:2" x14ac:dyDescent="0.2">
      <c r="A7586" t="str">
        <f>"IGF2R"</f>
        <v>IGF2R</v>
      </c>
      <c r="B7586" t="s">
        <v>3</v>
      </c>
    </row>
    <row r="7587" spans="1:2" x14ac:dyDescent="0.2">
      <c r="A7587" t="str">
        <f>"IGFALS"</f>
        <v>IGFALS</v>
      </c>
      <c r="B7587" t="s">
        <v>3</v>
      </c>
    </row>
    <row r="7588" spans="1:2" x14ac:dyDescent="0.2">
      <c r="A7588" t="str">
        <f>"IGFBP1"</f>
        <v>IGFBP1</v>
      </c>
      <c r="B7588" t="s">
        <v>3</v>
      </c>
    </row>
    <row r="7589" spans="1:2" x14ac:dyDescent="0.2">
      <c r="A7589" t="str">
        <f>"IGFBP2"</f>
        <v>IGFBP2</v>
      </c>
      <c r="B7589" t="s">
        <v>3</v>
      </c>
    </row>
    <row r="7590" spans="1:2" x14ac:dyDescent="0.2">
      <c r="A7590" t="str">
        <f>"IGFBP3"</f>
        <v>IGFBP3</v>
      </c>
      <c r="B7590" t="s">
        <v>3</v>
      </c>
    </row>
    <row r="7591" spans="1:2" x14ac:dyDescent="0.2">
      <c r="A7591" t="str">
        <f>"IGFBP4"</f>
        <v>IGFBP4</v>
      </c>
      <c r="B7591" t="s">
        <v>2</v>
      </c>
    </row>
    <row r="7592" spans="1:2" x14ac:dyDescent="0.2">
      <c r="A7592" t="str">
        <f>"IGFBP5"</f>
        <v>IGFBP5</v>
      </c>
      <c r="B7592" t="s">
        <v>3</v>
      </c>
    </row>
    <row r="7593" spans="1:2" x14ac:dyDescent="0.2">
      <c r="A7593" t="str">
        <f>"IGFBP6"</f>
        <v>IGFBP6</v>
      </c>
      <c r="B7593" t="s">
        <v>3</v>
      </c>
    </row>
    <row r="7594" spans="1:2" x14ac:dyDescent="0.2">
      <c r="A7594" t="str">
        <f>"IGFBP7"</f>
        <v>IGFBP7</v>
      </c>
      <c r="B7594" t="s">
        <v>7</v>
      </c>
    </row>
    <row r="7595" spans="1:2" x14ac:dyDescent="0.2">
      <c r="A7595" t="str">
        <f>"IGFBPL1"</f>
        <v>IGFBPL1</v>
      </c>
      <c r="B7595" t="s">
        <v>4</v>
      </c>
    </row>
    <row r="7596" spans="1:2" x14ac:dyDescent="0.2">
      <c r="A7596" t="str">
        <f>"IGFL1"</f>
        <v>IGFL1</v>
      </c>
      <c r="B7596" t="s">
        <v>4</v>
      </c>
    </row>
    <row r="7597" spans="1:2" x14ac:dyDescent="0.2">
      <c r="A7597" t="str">
        <f>"IGFL2"</f>
        <v>IGFL2</v>
      </c>
      <c r="B7597" t="s">
        <v>4</v>
      </c>
    </row>
    <row r="7598" spans="1:2" x14ac:dyDescent="0.2">
      <c r="A7598" t="str">
        <f>"IGFL3"</f>
        <v>IGFL3</v>
      </c>
      <c r="B7598" t="s">
        <v>4</v>
      </c>
    </row>
    <row r="7599" spans="1:2" x14ac:dyDescent="0.2">
      <c r="A7599" t="str">
        <f>"IGFL4"</f>
        <v>IGFL4</v>
      </c>
      <c r="B7599" t="s">
        <v>4</v>
      </c>
    </row>
    <row r="7600" spans="1:2" x14ac:dyDescent="0.2">
      <c r="A7600" t="str">
        <f>"IGFLR1"</f>
        <v>IGFLR1</v>
      </c>
      <c r="B7600" t="s">
        <v>5</v>
      </c>
    </row>
    <row r="7601" spans="1:2" x14ac:dyDescent="0.2">
      <c r="A7601" t="str">
        <f>"IGFN1"</f>
        <v>IGFN1</v>
      </c>
      <c r="B7601" t="s">
        <v>4</v>
      </c>
    </row>
    <row r="7602" spans="1:2" x14ac:dyDescent="0.2">
      <c r="A7602" t="str">
        <f>"IGHMBP2"</f>
        <v>IGHMBP2</v>
      </c>
      <c r="B7602" t="s">
        <v>8</v>
      </c>
    </row>
    <row r="7603" spans="1:2" x14ac:dyDescent="0.2">
      <c r="A7603" t="str">
        <f>"IGIP"</f>
        <v>IGIP</v>
      </c>
      <c r="B7603" t="s">
        <v>4</v>
      </c>
    </row>
    <row r="7604" spans="1:2" x14ac:dyDescent="0.2">
      <c r="A7604" t="str">
        <f>"IGJ"</f>
        <v>IGJ</v>
      </c>
      <c r="B7604" t="s">
        <v>4</v>
      </c>
    </row>
    <row r="7605" spans="1:2" x14ac:dyDescent="0.2">
      <c r="A7605" t="str">
        <f>"IGLL1"</f>
        <v>IGLL1</v>
      </c>
      <c r="B7605" t="s">
        <v>5</v>
      </c>
    </row>
    <row r="7606" spans="1:2" x14ac:dyDescent="0.2">
      <c r="A7606" t="str">
        <f>"IGLL5"</f>
        <v>IGLL5</v>
      </c>
      <c r="B7606" t="s">
        <v>4</v>
      </c>
    </row>
    <row r="7607" spans="1:2" x14ac:dyDescent="0.2">
      <c r="A7607" t="str">
        <f>"IGLON5"</f>
        <v>IGLON5</v>
      </c>
      <c r="B7607" t="s">
        <v>5</v>
      </c>
    </row>
    <row r="7608" spans="1:2" x14ac:dyDescent="0.2">
      <c r="A7608" t="str">
        <f>"IGSF1"</f>
        <v>IGSF1</v>
      </c>
      <c r="B7608" t="s">
        <v>5</v>
      </c>
    </row>
    <row r="7609" spans="1:2" x14ac:dyDescent="0.2">
      <c r="A7609" t="str">
        <f>"IGSF10"</f>
        <v>IGSF10</v>
      </c>
      <c r="B7609" t="s">
        <v>7</v>
      </c>
    </row>
    <row r="7610" spans="1:2" x14ac:dyDescent="0.2">
      <c r="A7610" t="str">
        <f>"IGSF11"</f>
        <v>IGSF11</v>
      </c>
      <c r="B7610" t="s">
        <v>5</v>
      </c>
    </row>
    <row r="7611" spans="1:2" x14ac:dyDescent="0.2">
      <c r="A7611" t="str">
        <f>"IGSF21"</f>
        <v>IGSF21</v>
      </c>
      <c r="B7611" t="s">
        <v>4</v>
      </c>
    </row>
    <row r="7612" spans="1:2" x14ac:dyDescent="0.2">
      <c r="A7612" t="str">
        <f>"IGSF22"</f>
        <v>IGSF22</v>
      </c>
      <c r="B7612" t="s">
        <v>3</v>
      </c>
    </row>
    <row r="7613" spans="1:2" x14ac:dyDescent="0.2">
      <c r="A7613" t="str">
        <f>"IGSF23"</f>
        <v>IGSF23</v>
      </c>
      <c r="B7613" t="s">
        <v>4</v>
      </c>
    </row>
    <row r="7614" spans="1:2" x14ac:dyDescent="0.2">
      <c r="A7614" t="str">
        <f>"IGSF3"</f>
        <v>IGSF3</v>
      </c>
      <c r="B7614" t="s">
        <v>5</v>
      </c>
    </row>
    <row r="7615" spans="1:2" x14ac:dyDescent="0.2">
      <c r="A7615" t="str">
        <f>"IGSF5"</f>
        <v>IGSF5</v>
      </c>
      <c r="B7615" t="s">
        <v>5</v>
      </c>
    </row>
    <row r="7616" spans="1:2" x14ac:dyDescent="0.2">
      <c r="A7616" t="str">
        <f>"IGSF6"</f>
        <v>IGSF6</v>
      </c>
      <c r="B7616" t="s">
        <v>5</v>
      </c>
    </row>
    <row r="7617" spans="1:2" x14ac:dyDescent="0.2">
      <c r="A7617" t="str">
        <f>"IGSF8"</f>
        <v>IGSF8</v>
      </c>
      <c r="B7617" t="s">
        <v>5</v>
      </c>
    </row>
    <row r="7618" spans="1:2" x14ac:dyDescent="0.2">
      <c r="A7618" t="str">
        <f>"IGSF9"</f>
        <v>IGSF9</v>
      </c>
      <c r="B7618" t="s">
        <v>5</v>
      </c>
    </row>
    <row r="7619" spans="1:2" x14ac:dyDescent="0.2">
      <c r="A7619" t="str">
        <f>"IGSF9B"</f>
        <v>IGSF9B</v>
      </c>
      <c r="B7619" t="s">
        <v>5</v>
      </c>
    </row>
    <row r="7620" spans="1:2" x14ac:dyDescent="0.2">
      <c r="A7620" t="str">
        <f>"IHH"</f>
        <v>IHH</v>
      </c>
      <c r="B7620" t="s">
        <v>2</v>
      </c>
    </row>
    <row r="7621" spans="1:2" x14ac:dyDescent="0.2">
      <c r="A7621" t="str">
        <f>"IK"</f>
        <v>IK</v>
      </c>
      <c r="B7621" t="s">
        <v>2</v>
      </c>
    </row>
    <row r="7622" spans="1:2" x14ac:dyDescent="0.2">
      <c r="A7622" t="str">
        <f>"IKBIP"</f>
        <v>IKBIP</v>
      </c>
      <c r="B7622" t="s">
        <v>2</v>
      </c>
    </row>
    <row r="7623" spans="1:2" x14ac:dyDescent="0.2">
      <c r="A7623" t="str">
        <f>"IKBKAP"</f>
        <v>IKBKAP</v>
      </c>
      <c r="B7623" t="s">
        <v>7</v>
      </c>
    </row>
    <row r="7624" spans="1:2" x14ac:dyDescent="0.2">
      <c r="A7624" t="str">
        <f>"IKBKB"</f>
        <v>IKBKB</v>
      </c>
      <c r="B7624" t="s">
        <v>7</v>
      </c>
    </row>
    <row r="7625" spans="1:2" x14ac:dyDescent="0.2">
      <c r="A7625" t="str">
        <f>"IKBKE"</f>
        <v>IKBKE</v>
      </c>
      <c r="B7625" t="s">
        <v>7</v>
      </c>
    </row>
    <row r="7626" spans="1:2" x14ac:dyDescent="0.2">
      <c r="A7626" t="str">
        <f>"IKBKG"</f>
        <v>IKBKG</v>
      </c>
      <c r="B7626" t="s">
        <v>7</v>
      </c>
    </row>
    <row r="7627" spans="1:2" x14ac:dyDescent="0.2">
      <c r="A7627" t="str">
        <f>"IKZF1"</f>
        <v>IKZF1</v>
      </c>
      <c r="B7627" t="s">
        <v>3</v>
      </c>
    </row>
    <row r="7628" spans="1:2" x14ac:dyDescent="0.2">
      <c r="A7628" t="str">
        <f>"IKZF2"</f>
        <v>IKZF2</v>
      </c>
      <c r="B7628" t="s">
        <v>8</v>
      </c>
    </row>
    <row r="7629" spans="1:2" x14ac:dyDescent="0.2">
      <c r="A7629" t="str">
        <f>"IKZF3"</f>
        <v>IKZF3</v>
      </c>
      <c r="B7629" t="s">
        <v>3</v>
      </c>
    </row>
    <row r="7630" spans="1:2" x14ac:dyDescent="0.2">
      <c r="A7630" t="str">
        <f>"IKZF4"</f>
        <v>IKZF4</v>
      </c>
      <c r="B7630" t="s">
        <v>8</v>
      </c>
    </row>
    <row r="7631" spans="1:2" x14ac:dyDescent="0.2">
      <c r="A7631" t="str">
        <f>"IKZF5"</f>
        <v>IKZF5</v>
      </c>
      <c r="B7631" t="s">
        <v>8</v>
      </c>
    </row>
    <row r="7632" spans="1:2" x14ac:dyDescent="0.2">
      <c r="A7632" t="str">
        <f>"IL10"</f>
        <v>IL10</v>
      </c>
      <c r="B7632" t="s">
        <v>3</v>
      </c>
    </row>
    <row r="7633" spans="1:2" x14ac:dyDescent="0.2">
      <c r="A7633" t="str">
        <f>"IL10RA"</f>
        <v>IL10RA</v>
      </c>
      <c r="B7633" t="s">
        <v>8</v>
      </c>
    </row>
    <row r="7634" spans="1:2" x14ac:dyDescent="0.2">
      <c r="A7634" t="str">
        <f>"IL10RB"</f>
        <v>IL10RB</v>
      </c>
      <c r="B7634" t="s">
        <v>3</v>
      </c>
    </row>
    <row r="7635" spans="1:2" x14ac:dyDescent="0.2">
      <c r="A7635" t="str">
        <f>"IL11"</f>
        <v>IL11</v>
      </c>
      <c r="B7635" t="s">
        <v>4</v>
      </c>
    </row>
    <row r="7636" spans="1:2" x14ac:dyDescent="0.2">
      <c r="A7636" t="str">
        <f>"IL11RA"</f>
        <v>IL11RA</v>
      </c>
      <c r="B7636" t="s">
        <v>7</v>
      </c>
    </row>
    <row r="7637" spans="1:2" x14ac:dyDescent="0.2">
      <c r="A7637" t="str">
        <f>"IL12A"</f>
        <v>IL12A</v>
      </c>
      <c r="B7637" t="s">
        <v>3</v>
      </c>
    </row>
    <row r="7638" spans="1:2" x14ac:dyDescent="0.2">
      <c r="A7638" t="str">
        <f>"IL12B"</f>
        <v>IL12B</v>
      </c>
      <c r="B7638" t="s">
        <v>3</v>
      </c>
    </row>
    <row r="7639" spans="1:2" x14ac:dyDescent="0.2">
      <c r="A7639" t="str">
        <f>"IL12RB1"</f>
        <v>IL12RB1</v>
      </c>
      <c r="B7639" t="s">
        <v>5</v>
      </c>
    </row>
    <row r="7640" spans="1:2" x14ac:dyDescent="0.2">
      <c r="A7640" t="str">
        <f>"IL12RB2"</f>
        <v>IL12RB2</v>
      </c>
      <c r="B7640" t="s">
        <v>5</v>
      </c>
    </row>
    <row r="7641" spans="1:2" x14ac:dyDescent="0.2">
      <c r="A7641" t="str">
        <f>"IL13"</f>
        <v>IL13</v>
      </c>
      <c r="B7641" t="s">
        <v>3</v>
      </c>
    </row>
    <row r="7642" spans="1:2" x14ac:dyDescent="0.2">
      <c r="A7642" t="str">
        <f>"IL13RA1"</f>
        <v>IL13RA1</v>
      </c>
      <c r="B7642" t="s">
        <v>5</v>
      </c>
    </row>
    <row r="7643" spans="1:2" x14ac:dyDescent="0.2">
      <c r="A7643" t="str">
        <f>"IL13RA2"</f>
        <v>IL13RA2</v>
      </c>
      <c r="B7643" t="s">
        <v>3</v>
      </c>
    </row>
    <row r="7644" spans="1:2" x14ac:dyDescent="0.2">
      <c r="A7644" t="str">
        <f>"IL15"</f>
        <v>IL15</v>
      </c>
      <c r="B7644" t="s">
        <v>3</v>
      </c>
    </row>
    <row r="7645" spans="1:2" x14ac:dyDescent="0.2">
      <c r="A7645" t="str">
        <f>"IL15RA"</f>
        <v>IL15RA</v>
      </c>
      <c r="B7645" t="s">
        <v>2</v>
      </c>
    </row>
    <row r="7646" spans="1:2" x14ac:dyDescent="0.2">
      <c r="A7646" t="str">
        <f>"IL16"</f>
        <v>IL16</v>
      </c>
      <c r="B7646" t="s">
        <v>4</v>
      </c>
    </row>
    <row r="7647" spans="1:2" x14ac:dyDescent="0.2">
      <c r="A7647" t="str">
        <f>"IL17A"</f>
        <v>IL17A</v>
      </c>
      <c r="B7647" t="s">
        <v>3</v>
      </c>
    </row>
    <row r="7648" spans="1:2" x14ac:dyDescent="0.2">
      <c r="A7648" t="str">
        <f>"IL17B"</f>
        <v>IL17B</v>
      </c>
      <c r="B7648" t="s">
        <v>3</v>
      </c>
    </row>
    <row r="7649" spans="1:2" x14ac:dyDescent="0.2">
      <c r="A7649" t="str">
        <f>"IL17C"</f>
        <v>IL17C</v>
      </c>
      <c r="B7649" t="s">
        <v>4</v>
      </c>
    </row>
    <row r="7650" spans="1:2" x14ac:dyDescent="0.2">
      <c r="A7650" t="str">
        <f>"IL17D"</f>
        <v>IL17D</v>
      </c>
      <c r="B7650" t="s">
        <v>3</v>
      </c>
    </row>
    <row r="7651" spans="1:2" x14ac:dyDescent="0.2">
      <c r="A7651" t="str">
        <f>"IL17F"</f>
        <v>IL17F</v>
      </c>
      <c r="B7651" t="s">
        <v>4</v>
      </c>
    </row>
    <row r="7652" spans="1:2" x14ac:dyDescent="0.2">
      <c r="A7652" t="str">
        <f>"IL17RA"</f>
        <v>IL17RA</v>
      </c>
      <c r="B7652" t="s">
        <v>5</v>
      </c>
    </row>
    <row r="7653" spans="1:2" x14ac:dyDescent="0.2">
      <c r="A7653" t="str">
        <f>"IL17RB"</f>
        <v>IL17RB</v>
      </c>
      <c r="B7653" t="s">
        <v>5</v>
      </c>
    </row>
    <row r="7654" spans="1:2" x14ac:dyDescent="0.2">
      <c r="A7654" t="str">
        <f>"IL17RC"</f>
        <v>IL17RC</v>
      </c>
      <c r="B7654" t="s">
        <v>5</v>
      </c>
    </row>
    <row r="7655" spans="1:2" x14ac:dyDescent="0.2">
      <c r="A7655" t="str">
        <f>"IL17RD"</f>
        <v>IL17RD</v>
      </c>
      <c r="B7655" t="s">
        <v>6</v>
      </c>
    </row>
    <row r="7656" spans="1:2" x14ac:dyDescent="0.2">
      <c r="A7656" t="str">
        <f>"IL17RE"</f>
        <v>IL17RE</v>
      </c>
      <c r="B7656" t="s">
        <v>5</v>
      </c>
    </row>
    <row r="7657" spans="1:2" x14ac:dyDescent="0.2">
      <c r="A7657" t="str">
        <f>"IL17REL"</f>
        <v>IL17REL</v>
      </c>
      <c r="B7657" t="s">
        <v>5</v>
      </c>
    </row>
    <row r="7658" spans="1:2" x14ac:dyDescent="0.2">
      <c r="A7658" t="str">
        <f>"IL18"</f>
        <v>IL18</v>
      </c>
      <c r="B7658" t="s">
        <v>3</v>
      </c>
    </row>
    <row r="7659" spans="1:2" x14ac:dyDescent="0.2">
      <c r="A7659" t="str">
        <f>"IL18BP"</f>
        <v>IL18BP</v>
      </c>
      <c r="B7659" t="s">
        <v>4</v>
      </c>
    </row>
    <row r="7660" spans="1:2" x14ac:dyDescent="0.2">
      <c r="A7660" t="str">
        <f>"IL18R1"</f>
        <v>IL18R1</v>
      </c>
      <c r="B7660" t="s">
        <v>5</v>
      </c>
    </row>
    <row r="7661" spans="1:2" x14ac:dyDescent="0.2">
      <c r="A7661" t="str">
        <f>"IL18RAP"</f>
        <v>IL18RAP</v>
      </c>
      <c r="B7661" t="s">
        <v>5</v>
      </c>
    </row>
    <row r="7662" spans="1:2" x14ac:dyDescent="0.2">
      <c r="A7662" t="str">
        <f>"IL19"</f>
        <v>IL19</v>
      </c>
      <c r="B7662" t="s">
        <v>3</v>
      </c>
    </row>
    <row r="7663" spans="1:2" x14ac:dyDescent="0.2">
      <c r="A7663" t="str">
        <f>"IL1A"</f>
        <v>IL1A</v>
      </c>
      <c r="B7663" t="s">
        <v>3</v>
      </c>
    </row>
    <row r="7664" spans="1:2" x14ac:dyDescent="0.2">
      <c r="A7664" t="str">
        <f>"IL1B"</f>
        <v>IL1B</v>
      </c>
      <c r="B7664" t="s">
        <v>3</v>
      </c>
    </row>
    <row r="7665" spans="1:2" x14ac:dyDescent="0.2">
      <c r="A7665" t="str">
        <f>"IL1F10"</f>
        <v>IL1F10</v>
      </c>
      <c r="B7665" t="s">
        <v>4</v>
      </c>
    </row>
    <row r="7666" spans="1:2" x14ac:dyDescent="0.2">
      <c r="A7666" t="str">
        <f>"IL1R1"</f>
        <v>IL1R1</v>
      </c>
      <c r="B7666" t="s">
        <v>3</v>
      </c>
    </row>
    <row r="7667" spans="1:2" x14ac:dyDescent="0.2">
      <c r="A7667" t="str">
        <f>"IL1R2"</f>
        <v>IL1R2</v>
      </c>
      <c r="B7667" t="s">
        <v>5</v>
      </c>
    </row>
    <row r="7668" spans="1:2" x14ac:dyDescent="0.2">
      <c r="A7668" t="str">
        <f>"IL1RAP"</f>
        <v>IL1RAP</v>
      </c>
      <c r="B7668" t="s">
        <v>5</v>
      </c>
    </row>
    <row r="7669" spans="1:2" x14ac:dyDescent="0.2">
      <c r="A7669" t="str">
        <f>"IL1RAPL1"</f>
        <v>IL1RAPL1</v>
      </c>
      <c r="B7669" t="s">
        <v>3</v>
      </c>
    </row>
    <row r="7670" spans="1:2" x14ac:dyDescent="0.2">
      <c r="A7670" t="str">
        <f>"IL1RAPL2"</f>
        <v>IL1RAPL2</v>
      </c>
      <c r="B7670" t="s">
        <v>5</v>
      </c>
    </row>
    <row r="7671" spans="1:2" x14ac:dyDescent="0.2">
      <c r="A7671" t="str">
        <f>"IL1RL1"</f>
        <v>IL1RL1</v>
      </c>
      <c r="B7671" t="s">
        <v>5</v>
      </c>
    </row>
    <row r="7672" spans="1:2" x14ac:dyDescent="0.2">
      <c r="A7672" t="str">
        <f>"IL1RL2"</f>
        <v>IL1RL2</v>
      </c>
      <c r="B7672" t="s">
        <v>5</v>
      </c>
    </row>
    <row r="7673" spans="1:2" x14ac:dyDescent="0.2">
      <c r="A7673" t="str">
        <f>"IL1RN"</f>
        <v>IL1RN</v>
      </c>
      <c r="B7673" t="s">
        <v>3</v>
      </c>
    </row>
    <row r="7674" spans="1:2" x14ac:dyDescent="0.2">
      <c r="A7674" t="str">
        <f>"IL2"</f>
        <v>IL2</v>
      </c>
      <c r="B7674" t="s">
        <v>3</v>
      </c>
    </row>
    <row r="7675" spans="1:2" x14ac:dyDescent="0.2">
      <c r="A7675" t="str">
        <f>"IL20"</f>
        <v>IL20</v>
      </c>
      <c r="B7675" t="s">
        <v>4</v>
      </c>
    </row>
    <row r="7676" spans="1:2" x14ac:dyDescent="0.2">
      <c r="A7676" t="str">
        <f>"IL20RA"</f>
        <v>IL20RA</v>
      </c>
      <c r="B7676" t="s">
        <v>5</v>
      </c>
    </row>
    <row r="7677" spans="1:2" x14ac:dyDescent="0.2">
      <c r="A7677" t="str">
        <f>"IL20RB"</f>
        <v>IL20RB</v>
      </c>
      <c r="B7677" t="s">
        <v>5</v>
      </c>
    </row>
    <row r="7678" spans="1:2" x14ac:dyDescent="0.2">
      <c r="A7678" t="str">
        <f>"IL21"</f>
        <v>IL21</v>
      </c>
      <c r="B7678" t="s">
        <v>4</v>
      </c>
    </row>
    <row r="7679" spans="1:2" x14ac:dyDescent="0.2">
      <c r="A7679" t="str">
        <f>"IL21R"</f>
        <v>IL21R</v>
      </c>
      <c r="B7679" t="s">
        <v>3</v>
      </c>
    </row>
    <row r="7680" spans="1:2" x14ac:dyDescent="0.2">
      <c r="A7680" t="str">
        <f>"IL22"</f>
        <v>IL22</v>
      </c>
      <c r="B7680" t="s">
        <v>4</v>
      </c>
    </row>
    <row r="7681" spans="1:2" x14ac:dyDescent="0.2">
      <c r="A7681" t="str">
        <f>"IL22RA1"</f>
        <v>IL22RA1</v>
      </c>
      <c r="B7681" t="s">
        <v>5</v>
      </c>
    </row>
    <row r="7682" spans="1:2" x14ac:dyDescent="0.2">
      <c r="A7682" t="str">
        <f>"IL22RA2"</f>
        <v>IL22RA2</v>
      </c>
      <c r="B7682" t="s">
        <v>4</v>
      </c>
    </row>
    <row r="7683" spans="1:2" x14ac:dyDescent="0.2">
      <c r="A7683" t="str">
        <f>"IL23A"</f>
        <v>IL23A</v>
      </c>
      <c r="B7683" t="s">
        <v>4</v>
      </c>
    </row>
    <row r="7684" spans="1:2" x14ac:dyDescent="0.2">
      <c r="A7684" t="str">
        <f>"IL23R"</f>
        <v>IL23R</v>
      </c>
      <c r="B7684" t="s">
        <v>5</v>
      </c>
    </row>
    <row r="7685" spans="1:2" x14ac:dyDescent="0.2">
      <c r="A7685" t="str">
        <f>"IL24"</f>
        <v>IL24</v>
      </c>
      <c r="B7685" t="s">
        <v>3</v>
      </c>
    </row>
    <row r="7686" spans="1:2" x14ac:dyDescent="0.2">
      <c r="A7686" t="str">
        <f>"IL25"</f>
        <v>IL25</v>
      </c>
      <c r="B7686" t="s">
        <v>4</v>
      </c>
    </row>
    <row r="7687" spans="1:2" x14ac:dyDescent="0.2">
      <c r="A7687" t="str">
        <f>"IL26"</f>
        <v>IL26</v>
      </c>
      <c r="B7687" t="s">
        <v>4</v>
      </c>
    </row>
    <row r="7688" spans="1:2" x14ac:dyDescent="0.2">
      <c r="A7688" t="str">
        <f>"IL27"</f>
        <v>IL27</v>
      </c>
      <c r="B7688" t="s">
        <v>4</v>
      </c>
    </row>
    <row r="7689" spans="1:2" x14ac:dyDescent="0.2">
      <c r="A7689" t="str">
        <f>"IL27RA"</f>
        <v>IL27RA</v>
      </c>
      <c r="B7689" t="s">
        <v>5</v>
      </c>
    </row>
    <row r="7690" spans="1:2" x14ac:dyDescent="0.2">
      <c r="A7690" t="str">
        <f>"IL2RA"</f>
        <v>IL2RA</v>
      </c>
      <c r="B7690" t="s">
        <v>3</v>
      </c>
    </row>
    <row r="7691" spans="1:2" x14ac:dyDescent="0.2">
      <c r="A7691" t="str">
        <f>"IL2RB"</f>
        <v>IL2RB</v>
      </c>
      <c r="B7691" t="s">
        <v>7</v>
      </c>
    </row>
    <row r="7692" spans="1:2" x14ac:dyDescent="0.2">
      <c r="A7692" t="str">
        <f>"IL2RG"</f>
        <v>IL2RG</v>
      </c>
      <c r="B7692" t="s">
        <v>7</v>
      </c>
    </row>
    <row r="7693" spans="1:2" x14ac:dyDescent="0.2">
      <c r="A7693" t="str">
        <f>"IL3"</f>
        <v>IL3</v>
      </c>
      <c r="B7693" t="s">
        <v>3</v>
      </c>
    </row>
    <row r="7694" spans="1:2" x14ac:dyDescent="0.2">
      <c r="A7694" t="str">
        <f>"IL31"</f>
        <v>IL31</v>
      </c>
      <c r="B7694" t="s">
        <v>4</v>
      </c>
    </row>
    <row r="7695" spans="1:2" x14ac:dyDescent="0.2">
      <c r="A7695" t="str">
        <f>"IL31RA"</f>
        <v>IL31RA</v>
      </c>
      <c r="B7695" t="s">
        <v>3</v>
      </c>
    </row>
    <row r="7696" spans="1:2" x14ac:dyDescent="0.2">
      <c r="A7696" t="str">
        <f>"IL32"</f>
        <v>IL32</v>
      </c>
      <c r="B7696" t="s">
        <v>4</v>
      </c>
    </row>
    <row r="7697" spans="1:2" x14ac:dyDescent="0.2">
      <c r="A7697" t="str">
        <f>"IL33"</f>
        <v>IL33</v>
      </c>
      <c r="B7697" t="s">
        <v>4</v>
      </c>
    </row>
    <row r="7698" spans="1:2" x14ac:dyDescent="0.2">
      <c r="A7698" t="str">
        <f>"IL34"</f>
        <v>IL34</v>
      </c>
      <c r="B7698" t="s">
        <v>4</v>
      </c>
    </row>
    <row r="7699" spans="1:2" x14ac:dyDescent="0.2">
      <c r="A7699" t="str">
        <f>"IL36A"</f>
        <v>IL36A</v>
      </c>
      <c r="B7699" t="s">
        <v>4</v>
      </c>
    </row>
    <row r="7700" spans="1:2" x14ac:dyDescent="0.2">
      <c r="A7700" t="str">
        <f>"IL36B"</f>
        <v>IL36B</v>
      </c>
      <c r="B7700" t="s">
        <v>4</v>
      </c>
    </row>
    <row r="7701" spans="1:2" x14ac:dyDescent="0.2">
      <c r="A7701" t="str">
        <f>"IL36G"</f>
        <v>IL36G</v>
      </c>
      <c r="B7701" t="s">
        <v>4</v>
      </c>
    </row>
    <row r="7702" spans="1:2" x14ac:dyDescent="0.2">
      <c r="A7702" t="str">
        <f>"IL36RN"</f>
        <v>IL36RN</v>
      </c>
      <c r="B7702" t="s">
        <v>4</v>
      </c>
    </row>
    <row r="7703" spans="1:2" x14ac:dyDescent="0.2">
      <c r="A7703" t="str">
        <f>"IL37"</f>
        <v>IL37</v>
      </c>
      <c r="B7703" t="s">
        <v>4</v>
      </c>
    </row>
    <row r="7704" spans="1:2" x14ac:dyDescent="0.2">
      <c r="A7704" t="str">
        <f>"IL3RA"</f>
        <v>IL3RA</v>
      </c>
      <c r="B7704" t="s">
        <v>7</v>
      </c>
    </row>
    <row r="7705" spans="1:2" x14ac:dyDescent="0.2">
      <c r="A7705" t="str">
        <f>"IL4"</f>
        <v>IL4</v>
      </c>
      <c r="B7705" t="s">
        <v>3</v>
      </c>
    </row>
    <row r="7706" spans="1:2" x14ac:dyDescent="0.2">
      <c r="A7706" t="str">
        <f>"IL4I1"</f>
        <v>IL4I1</v>
      </c>
      <c r="B7706" t="s">
        <v>7</v>
      </c>
    </row>
    <row r="7707" spans="1:2" x14ac:dyDescent="0.2">
      <c r="A7707" t="str">
        <f>"IL4R"</f>
        <v>IL4R</v>
      </c>
      <c r="B7707" t="s">
        <v>5</v>
      </c>
    </row>
    <row r="7708" spans="1:2" x14ac:dyDescent="0.2">
      <c r="A7708" t="str">
        <f>"IL5"</f>
        <v>IL5</v>
      </c>
      <c r="B7708" t="s">
        <v>7</v>
      </c>
    </row>
    <row r="7709" spans="1:2" x14ac:dyDescent="0.2">
      <c r="A7709" t="str">
        <f>"IL5RA"</f>
        <v>IL5RA</v>
      </c>
      <c r="B7709" t="s">
        <v>5</v>
      </c>
    </row>
    <row r="7710" spans="1:2" x14ac:dyDescent="0.2">
      <c r="A7710" t="str">
        <f>"IL6"</f>
        <v>IL6</v>
      </c>
      <c r="B7710" t="s">
        <v>3</v>
      </c>
    </row>
    <row r="7711" spans="1:2" x14ac:dyDescent="0.2">
      <c r="A7711" t="str">
        <f>"IL6R"</f>
        <v>IL6R</v>
      </c>
      <c r="B7711" t="s">
        <v>7</v>
      </c>
    </row>
    <row r="7712" spans="1:2" x14ac:dyDescent="0.2">
      <c r="A7712" t="str">
        <f>"IL6ST"</f>
        <v>IL6ST</v>
      </c>
      <c r="B7712" t="s">
        <v>3</v>
      </c>
    </row>
    <row r="7713" spans="1:2" x14ac:dyDescent="0.2">
      <c r="A7713" t="str">
        <f>"IL7"</f>
        <v>IL7</v>
      </c>
      <c r="B7713" t="s">
        <v>4</v>
      </c>
    </row>
    <row r="7714" spans="1:2" x14ac:dyDescent="0.2">
      <c r="A7714" t="str">
        <f>"IL7R"</f>
        <v>IL7R</v>
      </c>
      <c r="B7714" t="s">
        <v>3</v>
      </c>
    </row>
    <row r="7715" spans="1:2" x14ac:dyDescent="0.2">
      <c r="A7715" t="str">
        <f>"IL8"</f>
        <v>IL8</v>
      </c>
      <c r="B7715" t="s">
        <v>3</v>
      </c>
    </row>
    <row r="7716" spans="1:2" x14ac:dyDescent="0.2">
      <c r="A7716" t="str">
        <f>"IL9"</f>
        <v>IL9</v>
      </c>
      <c r="B7716" t="s">
        <v>4</v>
      </c>
    </row>
    <row r="7717" spans="1:2" x14ac:dyDescent="0.2">
      <c r="A7717" t="str">
        <f>"IL9R"</f>
        <v>IL9R</v>
      </c>
      <c r="B7717" t="s">
        <v>5</v>
      </c>
    </row>
    <row r="7718" spans="1:2" x14ac:dyDescent="0.2">
      <c r="A7718" t="str">
        <f>"ILDR1"</f>
        <v>ILDR1</v>
      </c>
      <c r="B7718" t="s">
        <v>5</v>
      </c>
    </row>
    <row r="7719" spans="1:2" x14ac:dyDescent="0.2">
      <c r="A7719" t="str">
        <f>"ILDR2"</f>
        <v>ILDR2</v>
      </c>
      <c r="B7719" t="s">
        <v>5</v>
      </c>
    </row>
    <row r="7720" spans="1:2" x14ac:dyDescent="0.2">
      <c r="A7720" t="str">
        <f>"ILF2"</f>
        <v>ILF2</v>
      </c>
      <c r="B7720" t="s">
        <v>8</v>
      </c>
    </row>
    <row r="7721" spans="1:2" x14ac:dyDescent="0.2">
      <c r="A7721" t="str">
        <f>"ILF3"</f>
        <v>ILF3</v>
      </c>
      <c r="B7721" t="s">
        <v>6</v>
      </c>
    </row>
    <row r="7722" spans="1:2" x14ac:dyDescent="0.2">
      <c r="A7722" t="str">
        <f>"ILK"</f>
        <v>ILK</v>
      </c>
      <c r="B7722" t="s">
        <v>7</v>
      </c>
    </row>
    <row r="7723" spans="1:2" x14ac:dyDescent="0.2">
      <c r="A7723" t="str">
        <f>"ILKAP"</f>
        <v>ILKAP</v>
      </c>
      <c r="B7723" t="s">
        <v>7</v>
      </c>
    </row>
    <row r="7724" spans="1:2" x14ac:dyDescent="0.2">
      <c r="A7724" t="str">
        <f>"ILVBL"</f>
        <v>ILVBL</v>
      </c>
      <c r="B7724" t="s">
        <v>5</v>
      </c>
    </row>
    <row r="7725" spans="1:2" x14ac:dyDescent="0.2">
      <c r="A7725" t="str">
        <f>"IMMP1L"</f>
        <v>IMMP1L</v>
      </c>
      <c r="B7725" t="s">
        <v>2</v>
      </c>
    </row>
    <row r="7726" spans="1:2" x14ac:dyDescent="0.2">
      <c r="A7726" t="str">
        <f>"IMMP2L"</f>
        <v>IMMP2L</v>
      </c>
      <c r="B7726" t="s">
        <v>2</v>
      </c>
    </row>
    <row r="7727" spans="1:2" x14ac:dyDescent="0.2">
      <c r="A7727" t="str">
        <f>"IMMT"</f>
        <v>IMMT</v>
      </c>
      <c r="B7727" t="s">
        <v>6</v>
      </c>
    </row>
    <row r="7728" spans="1:2" x14ac:dyDescent="0.2">
      <c r="A7728" t="str">
        <f>"IMP3"</f>
        <v>IMP3</v>
      </c>
      <c r="B7728" t="s">
        <v>6</v>
      </c>
    </row>
    <row r="7729" spans="1:2" x14ac:dyDescent="0.2">
      <c r="A7729" t="str">
        <f>"IMP4"</f>
        <v>IMP4</v>
      </c>
      <c r="B7729" t="s">
        <v>2</v>
      </c>
    </row>
    <row r="7730" spans="1:2" x14ac:dyDescent="0.2">
      <c r="A7730" t="str">
        <f>"IMPA1"</f>
        <v>IMPA1</v>
      </c>
      <c r="B7730" t="s">
        <v>7</v>
      </c>
    </row>
    <row r="7731" spans="1:2" x14ac:dyDescent="0.2">
      <c r="A7731" t="str">
        <f>"IMPA2"</f>
        <v>IMPA2</v>
      </c>
      <c r="B7731" t="s">
        <v>3</v>
      </c>
    </row>
    <row r="7732" spans="1:2" x14ac:dyDescent="0.2">
      <c r="A7732" t="str">
        <f>"IMPACT"</f>
        <v>IMPACT</v>
      </c>
      <c r="B7732" t="s">
        <v>8</v>
      </c>
    </row>
    <row r="7733" spans="1:2" x14ac:dyDescent="0.2">
      <c r="A7733" t="str">
        <f>"IMPAD1"</f>
        <v>IMPAD1</v>
      </c>
      <c r="B7733" t="s">
        <v>5</v>
      </c>
    </row>
    <row r="7734" spans="1:2" x14ac:dyDescent="0.2">
      <c r="A7734" t="str">
        <f>"IMPDH1"</f>
        <v>IMPDH1</v>
      </c>
      <c r="B7734" t="s">
        <v>3</v>
      </c>
    </row>
    <row r="7735" spans="1:2" x14ac:dyDescent="0.2">
      <c r="A7735" t="str">
        <f>"IMPDH2"</f>
        <v>IMPDH2</v>
      </c>
      <c r="B7735" t="s">
        <v>3</v>
      </c>
    </row>
    <row r="7736" spans="1:2" x14ac:dyDescent="0.2">
      <c r="A7736" t="str">
        <f>"IMPG1"</f>
        <v>IMPG1</v>
      </c>
      <c r="B7736" t="s">
        <v>4</v>
      </c>
    </row>
    <row r="7737" spans="1:2" x14ac:dyDescent="0.2">
      <c r="A7737" t="str">
        <f>"IMPG2"</f>
        <v>IMPG2</v>
      </c>
      <c r="B7737" t="s">
        <v>5</v>
      </c>
    </row>
    <row r="7738" spans="1:2" x14ac:dyDescent="0.2">
      <c r="A7738" t="str">
        <f>"INA"</f>
        <v>INA</v>
      </c>
      <c r="B7738" t="s">
        <v>6</v>
      </c>
    </row>
    <row r="7739" spans="1:2" x14ac:dyDescent="0.2">
      <c r="A7739" t="str">
        <f>"INADL"</f>
        <v>INADL</v>
      </c>
      <c r="B7739" t="s">
        <v>4</v>
      </c>
    </row>
    <row r="7740" spans="1:2" x14ac:dyDescent="0.2">
      <c r="A7740" t="str">
        <f>"INCA1"</f>
        <v>INCA1</v>
      </c>
      <c r="B7740" t="s">
        <v>4</v>
      </c>
    </row>
    <row r="7741" spans="1:2" x14ac:dyDescent="0.2">
      <c r="A7741" t="str">
        <f>"INCENP"</f>
        <v>INCENP</v>
      </c>
      <c r="B7741" t="s">
        <v>3</v>
      </c>
    </row>
    <row r="7742" spans="1:2" x14ac:dyDescent="0.2">
      <c r="A7742" t="str">
        <f>"INF2"</f>
        <v>INF2</v>
      </c>
      <c r="B7742" t="s">
        <v>3</v>
      </c>
    </row>
    <row r="7743" spans="1:2" x14ac:dyDescent="0.2">
      <c r="A7743" t="str">
        <f>"ING1"</f>
        <v>ING1</v>
      </c>
      <c r="B7743" t="s">
        <v>3</v>
      </c>
    </row>
    <row r="7744" spans="1:2" x14ac:dyDescent="0.2">
      <c r="A7744" t="str">
        <f>"ING2"</f>
        <v>ING2</v>
      </c>
      <c r="B7744" t="s">
        <v>2</v>
      </c>
    </row>
    <row r="7745" spans="1:2" x14ac:dyDescent="0.2">
      <c r="A7745" t="str">
        <f>"ING3"</f>
        <v>ING3</v>
      </c>
      <c r="B7745" t="s">
        <v>6</v>
      </c>
    </row>
    <row r="7746" spans="1:2" x14ac:dyDescent="0.2">
      <c r="A7746" t="str">
        <f>"ING4"</f>
        <v>ING4</v>
      </c>
      <c r="B7746" t="s">
        <v>3</v>
      </c>
    </row>
    <row r="7747" spans="1:2" x14ac:dyDescent="0.2">
      <c r="A7747" t="str">
        <f>"ING5"</f>
        <v>ING5</v>
      </c>
      <c r="B7747" t="s">
        <v>3</v>
      </c>
    </row>
    <row r="7748" spans="1:2" x14ac:dyDescent="0.2">
      <c r="A7748" t="str">
        <f>"INHA"</f>
        <v>INHA</v>
      </c>
      <c r="B7748" t="s">
        <v>3</v>
      </c>
    </row>
    <row r="7749" spans="1:2" x14ac:dyDescent="0.2">
      <c r="A7749" t="str">
        <f>"INHBA"</f>
        <v>INHBA</v>
      </c>
      <c r="B7749" t="s">
        <v>3</v>
      </c>
    </row>
    <row r="7750" spans="1:2" x14ac:dyDescent="0.2">
      <c r="A7750" t="str">
        <f>"INHBB"</f>
        <v>INHBB</v>
      </c>
      <c r="B7750" t="s">
        <v>3</v>
      </c>
    </row>
    <row r="7751" spans="1:2" x14ac:dyDescent="0.2">
      <c r="A7751" t="str">
        <f>"INHBC"</f>
        <v>INHBC</v>
      </c>
      <c r="B7751" t="s">
        <v>4</v>
      </c>
    </row>
    <row r="7752" spans="1:2" x14ac:dyDescent="0.2">
      <c r="A7752" t="str">
        <f>"INHBE"</f>
        <v>INHBE</v>
      </c>
      <c r="B7752" t="s">
        <v>3</v>
      </c>
    </row>
    <row r="7753" spans="1:2" x14ac:dyDescent="0.2">
      <c r="A7753" t="str">
        <f>"INIP"</f>
        <v>INIP</v>
      </c>
      <c r="B7753" t="s">
        <v>4</v>
      </c>
    </row>
    <row r="7754" spans="1:2" x14ac:dyDescent="0.2">
      <c r="A7754" t="str">
        <f>"INMT"</f>
        <v>INMT</v>
      </c>
      <c r="B7754" t="s">
        <v>3</v>
      </c>
    </row>
    <row r="7755" spans="1:2" x14ac:dyDescent="0.2">
      <c r="A7755" t="str">
        <f>"INO80"</f>
        <v>INO80</v>
      </c>
      <c r="B7755" t="s">
        <v>8</v>
      </c>
    </row>
    <row r="7756" spans="1:2" x14ac:dyDescent="0.2">
      <c r="A7756" t="str">
        <f>"INO80B"</f>
        <v>INO80B</v>
      </c>
      <c r="B7756" t="s">
        <v>4</v>
      </c>
    </row>
    <row r="7757" spans="1:2" x14ac:dyDescent="0.2">
      <c r="A7757" t="str">
        <f>"INO80C"</f>
        <v>INO80C</v>
      </c>
      <c r="B7757" t="s">
        <v>5</v>
      </c>
    </row>
    <row r="7758" spans="1:2" x14ac:dyDescent="0.2">
      <c r="A7758" t="str">
        <f>"INO80D"</f>
        <v>INO80D</v>
      </c>
      <c r="B7758" t="s">
        <v>4</v>
      </c>
    </row>
    <row r="7759" spans="1:2" x14ac:dyDescent="0.2">
      <c r="A7759" t="str">
        <f>"INO80E"</f>
        <v>INO80E</v>
      </c>
      <c r="B7759" t="s">
        <v>4</v>
      </c>
    </row>
    <row r="7760" spans="1:2" x14ac:dyDescent="0.2">
      <c r="A7760" t="str">
        <f>"INPP1"</f>
        <v>INPP1</v>
      </c>
      <c r="B7760" t="s">
        <v>7</v>
      </c>
    </row>
    <row r="7761" spans="1:2" x14ac:dyDescent="0.2">
      <c r="A7761" t="str">
        <f>"INPP4A"</f>
        <v>INPP4A</v>
      </c>
      <c r="B7761" t="s">
        <v>3</v>
      </c>
    </row>
    <row r="7762" spans="1:2" x14ac:dyDescent="0.2">
      <c r="A7762" t="str">
        <f>"INPP4B"</f>
        <v>INPP4B</v>
      </c>
      <c r="B7762" t="s">
        <v>7</v>
      </c>
    </row>
    <row r="7763" spans="1:2" x14ac:dyDescent="0.2">
      <c r="A7763" t="str">
        <f>"INPP5A"</f>
        <v>INPP5A</v>
      </c>
      <c r="B7763" t="s">
        <v>7</v>
      </c>
    </row>
    <row r="7764" spans="1:2" x14ac:dyDescent="0.2">
      <c r="A7764" t="str">
        <f>"INPP5B"</f>
        <v>INPP5B</v>
      </c>
      <c r="B7764" t="s">
        <v>7</v>
      </c>
    </row>
    <row r="7765" spans="1:2" x14ac:dyDescent="0.2">
      <c r="A7765" t="str">
        <f>"INPP5D"</f>
        <v>INPP5D</v>
      </c>
      <c r="B7765" t="s">
        <v>7</v>
      </c>
    </row>
    <row r="7766" spans="1:2" x14ac:dyDescent="0.2">
      <c r="A7766" t="str">
        <f>"INPP5E"</f>
        <v>INPP5E</v>
      </c>
      <c r="B7766" t="s">
        <v>7</v>
      </c>
    </row>
    <row r="7767" spans="1:2" x14ac:dyDescent="0.2">
      <c r="A7767" t="str">
        <f>"INPP5F"</f>
        <v>INPP5F</v>
      </c>
      <c r="B7767" t="s">
        <v>7</v>
      </c>
    </row>
    <row r="7768" spans="1:2" x14ac:dyDescent="0.2">
      <c r="A7768" t="str">
        <f>"INPP5J"</f>
        <v>INPP5J</v>
      </c>
      <c r="B7768" t="s">
        <v>7</v>
      </c>
    </row>
    <row r="7769" spans="1:2" x14ac:dyDescent="0.2">
      <c r="A7769" t="str">
        <f>"INPP5K"</f>
        <v>INPP5K</v>
      </c>
      <c r="B7769" t="s">
        <v>7</v>
      </c>
    </row>
    <row r="7770" spans="1:2" x14ac:dyDescent="0.2">
      <c r="A7770" t="str">
        <f>"INPPL1"</f>
        <v>INPPL1</v>
      </c>
      <c r="B7770" t="s">
        <v>7</v>
      </c>
    </row>
    <row r="7771" spans="1:2" x14ac:dyDescent="0.2">
      <c r="A7771" t="str">
        <f>"INS"</f>
        <v>INS</v>
      </c>
      <c r="B7771" t="s">
        <v>7</v>
      </c>
    </row>
    <row r="7772" spans="1:2" x14ac:dyDescent="0.2">
      <c r="A7772" t="str">
        <f>"INS-IGF2"</f>
        <v>INS-IGF2</v>
      </c>
      <c r="B7772" t="s">
        <v>4</v>
      </c>
    </row>
    <row r="7773" spans="1:2" x14ac:dyDescent="0.2">
      <c r="A7773" t="str">
        <f>"INSC"</f>
        <v>INSC</v>
      </c>
      <c r="B7773" t="s">
        <v>3</v>
      </c>
    </row>
    <row r="7774" spans="1:2" x14ac:dyDescent="0.2">
      <c r="A7774" t="str">
        <f>"INSIG1"</f>
        <v>INSIG1</v>
      </c>
      <c r="B7774" t="s">
        <v>2</v>
      </c>
    </row>
    <row r="7775" spans="1:2" x14ac:dyDescent="0.2">
      <c r="A7775" t="str">
        <f>"INSIG2"</f>
        <v>INSIG2</v>
      </c>
      <c r="B7775" t="s">
        <v>6</v>
      </c>
    </row>
    <row r="7776" spans="1:2" x14ac:dyDescent="0.2">
      <c r="A7776" t="str">
        <f>"INSL3"</f>
        <v>INSL3</v>
      </c>
      <c r="B7776" t="s">
        <v>3</v>
      </c>
    </row>
    <row r="7777" spans="1:2" x14ac:dyDescent="0.2">
      <c r="A7777" t="str">
        <f>"INSL4"</f>
        <v>INSL4</v>
      </c>
      <c r="B7777" t="s">
        <v>4</v>
      </c>
    </row>
    <row r="7778" spans="1:2" x14ac:dyDescent="0.2">
      <c r="A7778" t="str">
        <f>"INSL5"</f>
        <v>INSL5</v>
      </c>
      <c r="B7778" t="s">
        <v>4</v>
      </c>
    </row>
    <row r="7779" spans="1:2" x14ac:dyDescent="0.2">
      <c r="A7779" t="str">
        <f>"INSL6"</f>
        <v>INSL6</v>
      </c>
      <c r="B7779" t="s">
        <v>4</v>
      </c>
    </row>
    <row r="7780" spans="1:2" x14ac:dyDescent="0.2">
      <c r="A7780" t="str">
        <f>"INSM1"</f>
        <v>INSM1</v>
      </c>
      <c r="B7780" t="s">
        <v>8</v>
      </c>
    </row>
    <row r="7781" spans="1:2" x14ac:dyDescent="0.2">
      <c r="A7781" t="str">
        <f>"INSM2"</f>
        <v>INSM2</v>
      </c>
      <c r="B7781" t="s">
        <v>8</v>
      </c>
    </row>
    <row r="7782" spans="1:2" x14ac:dyDescent="0.2">
      <c r="A7782" t="str">
        <f>"INSR"</f>
        <v>INSR</v>
      </c>
      <c r="B7782" t="s">
        <v>7</v>
      </c>
    </row>
    <row r="7783" spans="1:2" x14ac:dyDescent="0.2">
      <c r="A7783" t="str">
        <f>"INSRR"</f>
        <v>INSRR</v>
      </c>
      <c r="B7783" t="s">
        <v>7</v>
      </c>
    </row>
    <row r="7784" spans="1:2" x14ac:dyDescent="0.2">
      <c r="A7784" t="str">
        <f>"INTS1"</f>
        <v>INTS1</v>
      </c>
      <c r="B7784" t="s">
        <v>3</v>
      </c>
    </row>
    <row r="7785" spans="1:2" x14ac:dyDescent="0.2">
      <c r="A7785" t="str">
        <f>"INTS10"</f>
        <v>INTS10</v>
      </c>
      <c r="B7785" t="s">
        <v>4</v>
      </c>
    </row>
    <row r="7786" spans="1:2" x14ac:dyDescent="0.2">
      <c r="A7786" t="str">
        <f>"INTS12"</f>
        <v>INTS12</v>
      </c>
      <c r="B7786" t="s">
        <v>4</v>
      </c>
    </row>
    <row r="7787" spans="1:2" x14ac:dyDescent="0.2">
      <c r="A7787" t="str">
        <f>"INTS2"</f>
        <v>INTS2</v>
      </c>
      <c r="B7787" t="s">
        <v>4</v>
      </c>
    </row>
    <row r="7788" spans="1:2" x14ac:dyDescent="0.2">
      <c r="A7788" t="str">
        <f>"INTS3"</f>
        <v>INTS3</v>
      </c>
      <c r="B7788" t="s">
        <v>4</v>
      </c>
    </row>
    <row r="7789" spans="1:2" x14ac:dyDescent="0.2">
      <c r="A7789" t="str">
        <f>"INTS4"</f>
        <v>INTS4</v>
      </c>
      <c r="B7789" t="s">
        <v>4</v>
      </c>
    </row>
    <row r="7790" spans="1:2" x14ac:dyDescent="0.2">
      <c r="A7790" t="str">
        <f>"INTS5"</f>
        <v>INTS5</v>
      </c>
      <c r="B7790" t="s">
        <v>5</v>
      </c>
    </row>
    <row r="7791" spans="1:2" x14ac:dyDescent="0.2">
      <c r="A7791" t="str">
        <f>"INTS6"</f>
        <v>INTS6</v>
      </c>
      <c r="B7791" t="s">
        <v>6</v>
      </c>
    </row>
    <row r="7792" spans="1:2" x14ac:dyDescent="0.2">
      <c r="A7792" t="str">
        <f>"INTS7"</f>
        <v>INTS7</v>
      </c>
      <c r="B7792" t="s">
        <v>4</v>
      </c>
    </row>
    <row r="7793" spans="1:2" x14ac:dyDescent="0.2">
      <c r="A7793" t="str">
        <f>"INTS8"</f>
        <v>INTS8</v>
      </c>
      <c r="B7793" t="s">
        <v>4</v>
      </c>
    </row>
    <row r="7794" spans="1:2" x14ac:dyDescent="0.2">
      <c r="A7794" t="str">
        <f>"INTS9"</f>
        <v>INTS9</v>
      </c>
      <c r="B7794" t="s">
        <v>2</v>
      </c>
    </row>
    <row r="7795" spans="1:2" x14ac:dyDescent="0.2">
      <c r="A7795" t="str">
        <f>"INTU"</f>
        <v>INTU</v>
      </c>
      <c r="B7795" t="s">
        <v>4</v>
      </c>
    </row>
    <row r="7796" spans="1:2" x14ac:dyDescent="0.2">
      <c r="A7796" t="str">
        <f>"INVS"</f>
        <v>INVS</v>
      </c>
      <c r="B7796" t="s">
        <v>2</v>
      </c>
    </row>
    <row r="7797" spans="1:2" x14ac:dyDescent="0.2">
      <c r="A7797" t="str">
        <f>"IP6K1"</f>
        <v>IP6K1</v>
      </c>
      <c r="B7797" t="s">
        <v>7</v>
      </c>
    </row>
    <row r="7798" spans="1:2" x14ac:dyDescent="0.2">
      <c r="A7798" t="str">
        <f>"IP6K2"</f>
        <v>IP6K2</v>
      </c>
      <c r="B7798" t="s">
        <v>7</v>
      </c>
    </row>
    <row r="7799" spans="1:2" x14ac:dyDescent="0.2">
      <c r="A7799" t="str">
        <f>"IP6K3"</f>
        <v>IP6K3</v>
      </c>
      <c r="B7799" t="s">
        <v>7</v>
      </c>
    </row>
    <row r="7800" spans="1:2" x14ac:dyDescent="0.2">
      <c r="A7800" t="str">
        <f>"IPCEF1"</f>
        <v>IPCEF1</v>
      </c>
      <c r="B7800" t="s">
        <v>4</v>
      </c>
    </row>
    <row r="7801" spans="1:2" x14ac:dyDescent="0.2">
      <c r="A7801" t="str">
        <f>"IPMK"</f>
        <v>IPMK</v>
      </c>
      <c r="B7801" t="s">
        <v>3</v>
      </c>
    </row>
    <row r="7802" spans="1:2" x14ac:dyDescent="0.2">
      <c r="A7802" t="str">
        <f>"IPO11"</f>
        <v>IPO11</v>
      </c>
      <c r="B7802" t="s">
        <v>3</v>
      </c>
    </row>
    <row r="7803" spans="1:2" x14ac:dyDescent="0.2">
      <c r="A7803" t="str">
        <f>"IPO13"</f>
        <v>IPO13</v>
      </c>
      <c r="B7803" t="s">
        <v>6</v>
      </c>
    </row>
    <row r="7804" spans="1:2" x14ac:dyDescent="0.2">
      <c r="A7804" t="str">
        <f>"IPO4"</f>
        <v>IPO4</v>
      </c>
      <c r="B7804" t="s">
        <v>6</v>
      </c>
    </row>
    <row r="7805" spans="1:2" x14ac:dyDescent="0.2">
      <c r="A7805" t="str">
        <f>"IPO5"</f>
        <v>IPO5</v>
      </c>
      <c r="B7805" t="s">
        <v>3</v>
      </c>
    </row>
    <row r="7806" spans="1:2" x14ac:dyDescent="0.2">
      <c r="A7806" t="str">
        <f>"IPO7"</f>
        <v>IPO7</v>
      </c>
      <c r="B7806" t="s">
        <v>6</v>
      </c>
    </row>
    <row r="7807" spans="1:2" x14ac:dyDescent="0.2">
      <c r="A7807" t="str">
        <f>"IPO8"</f>
        <v>IPO8</v>
      </c>
      <c r="B7807" t="s">
        <v>6</v>
      </c>
    </row>
    <row r="7808" spans="1:2" x14ac:dyDescent="0.2">
      <c r="A7808" t="str">
        <f>"IPO9"</f>
        <v>IPO9</v>
      </c>
      <c r="B7808" t="s">
        <v>2</v>
      </c>
    </row>
    <row r="7809" spans="1:2" x14ac:dyDescent="0.2">
      <c r="A7809" t="str">
        <f>"IPP"</f>
        <v>IPP</v>
      </c>
      <c r="B7809" t="s">
        <v>2</v>
      </c>
    </row>
    <row r="7810" spans="1:2" x14ac:dyDescent="0.2">
      <c r="A7810" t="str">
        <f>"IPPK"</f>
        <v>IPPK</v>
      </c>
      <c r="B7810" t="s">
        <v>3</v>
      </c>
    </row>
    <row r="7811" spans="1:2" x14ac:dyDescent="0.2">
      <c r="A7811" t="str">
        <f>"IQCA1"</f>
        <v>IQCA1</v>
      </c>
      <c r="B7811" t="s">
        <v>4</v>
      </c>
    </row>
    <row r="7812" spans="1:2" x14ac:dyDescent="0.2">
      <c r="A7812" t="str">
        <f>"IQCB1"</f>
        <v>IQCB1</v>
      </c>
      <c r="B7812" t="s">
        <v>2</v>
      </c>
    </row>
    <row r="7813" spans="1:2" x14ac:dyDescent="0.2">
      <c r="A7813" t="str">
        <f>"IQCC"</f>
        <v>IQCC</v>
      </c>
      <c r="B7813" t="s">
        <v>4</v>
      </c>
    </row>
    <row r="7814" spans="1:2" x14ac:dyDescent="0.2">
      <c r="A7814" t="str">
        <f>"IQCD"</f>
        <v>IQCD</v>
      </c>
      <c r="B7814" t="s">
        <v>4</v>
      </c>
    </row>
    <row r="7815" spans="1:2" x14ac:dyDescent="0.2">
      <c r="A7815" t="str">
        <f>"IQCE"</f>
        <v>IQCE</v>
      </c>
      <c r="B7815" t="s">
        <v>6</v>
      </c>
    </row>
    <row r="7816" spans="1:2" x14ac:dyDescent="0.2">
      <c r="A7816" t="str">
        <f>"IQCF1"</f>
        <v>IQCF1</v>
      </c>
      <c r="B7816" t="s">
        <v>5</v>
      </c>
    </row>
    <row r="7817" spans="1:2" x14ac:dyDescent="0.2">
      <c r="A7817" t="str">
        <f>"IQCF2"</f>
        <v>IQCF2</v>
      </c>
      <c r="B7817" t="s">
        <v>4</v>
      </c>
    </row>
    <row r="7818" spans="1:2" x14ac:dyDescent="0.2">
      <c r="A7818" t="str">
        <f>"IQCF3"</f>
        <v>IQCF3</v>
      </c>
      <c r="B7818" t="s">
        <v>4</v>
      </c>
    </row>
    <row r="7819" spans="1:2" x14ac:dyDescent="0.2">
      <c r="A7819" t="str">
        <f>"IQCF5"</f>
        <v>IQCF5</v>
      </c>
      <c r="B7819" t="s">
        <v>4</v>
      </c>
    </row>
    <row r="7820" spans="1:2" x14ac:dyDescent="0.2">
      <c r="A7820" t="str">
        <f>"IQCF6"</f>
        <v>IQCF6</v>
      </c>
      <c r="B7820" t="s">
        <v>4</v>
      </c>
    </row>
    <row r="7821" spans="1:2" x14ac:dyDescent="0.2">
      <c r="A7821" t="str">
        <f>"IQCG"</f>
        <v>IQCG</v>
      </c>
      <c r="B7821" t="s">
        <v>4</v>
      </c>
    </row>
    <row r="7822" spans="1:2" x14ac:dyDescent="0.2">
      <c r="A7822" t="str">
        <f>"IQCH"</f>
        <v>IQCH</v>
      </c>
      <c r="B7822" t="s">
        <v>4</v>
      </c>
    </row>
    <row r="7823" spans="1:2" x14ac:dyDescent="0.2">
      <c r="A7823" t="str">
        <f>"IQCJ"</f>
        <v>IQCJ</v>
      </c>
      <c r="B7823" t="s">
        <v>4</v>
      </c>
    </row>
    <row r="7824" spans="1:2" x14ac:dyDescent="0.2">
      <c r="A7824" t="str">
        <f>"IQCJ-SCHIP1"</f>
        <v>IQCJ-SCHIP1</v>
      </c>
      <c r="B7824" t="s">
        <v>4</v>
      </c>
    </row>
    <row r="7825" spans="1:2" x14ac:dyDescent="0.2">
      <c r="A7825" t="str">
        <f>"IQCK"</f>
        <v>IQCK</v>
      </c>
      <c r="B7825" t="s">
        <v>4</v>
      </c>
    </row>
    <row r="7826" spans="1:2" x14ac:dyDescent="0.2">
      <c r="A7826" t="str">
        <f>"IQGAP1"</f>
        <v>IQGAP1</v>
      </c>
      <c r="B7826" t="s">
        <v>3</v>
      </c>
    </row>
    <row r="7827" spans="1:2" x14ac:dyDescent="0.2">
      <c r="A7827" t="str">
        <f>"IQGAP2"</f>
        <v>IQGAP2</v>
      </c>
      <c r="B7827" t="s">
        <v>2</v>
      </c>
    </row>
    <row r="7828" spans="1:2" x14ac:dyDescent="0.2">
      <c r="A7828" t="str">
        <f>"IQGAP3"</f>
        <v>IQGAP3</v>
      </c>
      <c r="B7828" t="s">
        <v>4</v>
      </c>
    </row>
    <row r="7829" spans="1:2" x14ac:dyDescent="0.2">
      <c r="A7829" t="str">
        <f>"IQSEC1"</f>
        <v>IQSEC1</v>
      </c>
      <c r="B7829" t="s">
        <v>6</v>
      </c>
    </row>
    <row r="7830" spans="1:2" x14ac:dyDescent="0.2">
      <c r="A7830" t="str">
        <f>"IQSEC2"</f>
        <v>IQSEC2</v>
      </c>
      <c r="B7830" t="s">
        <v>6</v>
      </c>
    </row>
    <row r="7831" spans="1:2" x14ac:dyDescent="0.2">
      <c r="A7831" t="str">
        <f>"IQSEC3"</f>
        <v>IQSEC3</v>
      </c>
      <c r="B7831" t="s">
        <v>6</v>
      </c>
    </row>
    <row r="7832" spans="1:2" x14ac:dyDescent="0.2">
      <c r="A7832" t="str">
        <f>"IQUB"</f>
        <v>IQUB</v>
      </c>
      <c r="B7832" t="s">
        <v>2</v>
      </c>
    </row>
    <row r="7833" spans="1:2" x14ac:dyDescent="0.2">
      <c r="A7833" t="str">
        <f>"IRAK1"</f>
        <v>IRAK1</v>
      </c>
      <c r="B7833" t="s">
        <v>7</v>
      </c>
    </row>
    <row r="7834" spans="1:2" x14ac:dyDescent="0.2">
      <c r="A7834" t="str">
        <f>"IRAK1BP1"</f>
        <v>IRAK1BP1</v>
      </c>
      <c r="B7834" t="s">
        <v>7</v>
      </c>
    </row>
    <row r="7835" spans="1:2" x14ac:dyDescent="0.2">
      <c r="A7835" t="str">
        <f>"IRAK2"</f>
        <v>IRAK2</v>
      </c>
      <c r="B7835" t="s">
        <v>7</v>
      </c>
    </row>
    <row r="7836" spans="1:2" x14ac:dyDescent="0.2">
      <c r="A7836" t="str">
        <f>"IRAK3"</f>
        <v>IRAK3</v>
      </c>
      <c r="B7836" t="s">
        <v>7</v>
      </c>
    </row>
    <row r="7837" spans="1:2" x14ac:dyDescent="0.2">
      <c r="A7837" t="str">
        <f>"IRAK4"</f>
        <v>IRAK4</v>
      </c>
      <c r="B7837" t="s">
        <v>7</v>
      </c>
    </row>
    <row r="7838" spans="1:2" x14ac:dyDescent="0.2">
      <c r="A7838" t="str">
        <f>"IREB2"</f>
        <v>IREB2</v>
      </c>
      <c r="B7838" t="s">
        <v>3</v>
      </c>
    </row>
    <row r="7839" spans="1:2" x14ac:dyDescent="0.2">
      <c r="A7839" t="str">
        <f>"IRF1"</f>
        <v>IRF1</v>
      </c>
      <c r="B7839" t="s">
        <v>3</v>
      </c>
    </row>
    <row r="7840" spans="1:2" x14ac:dyDescent="0.2">
      <c r="A7840" t="str">
        <f>"IRF2"</f>
        <v>IRF2</v>
      </c>
      <c r="B7840" t="s">
        <v>8</v>
      </c>
    </row>
    <row r="7841" spans="1:2" x14ac:dyDescent="0.2">
      <c r="A7841" t="str">
        <f>"IRF2BP1"</f>
        <v>IRF2BP1</v>
      </c>
      <c r="B7841" t="s">
        <v>8</v>
      </c>
    </row>
    <row r="7842" spans="1:2" x14ac:dyDescent="0.2">
      <c r="A7842" t="str">
        <f>"IRF2BP2"</f>
        <v>IRF2BP2</v>
      </c>
      <c r="B7842" t="s">
        <v>8</v>
      </c>
    </row>
    <row r="7843" spans="1:2" x14ac:dyDescent="0.2">
      <c r="A7843" t="str">
        <f>"IRF2BPL"</f>
        <v>IRF2BPL</v>
      </c>
      <c r="B7843" t="s">
        <v>3</v>
      </c>
    </row>
    <row r="7844" spans="1:2" x14ac:dyDescent="0.2">
      <c r="A7844" t="str">
        <f>"IRF3"</f>
        <v>IRF3</v>
      </c>
      <c r="B7844" t="s">
        <v>2</v>
      </c>
    </row>
    <row r="7845" spans="1:2" x14ac:dyDescent="0.2">
      <c r="A7845" t="str">
        <f>"IRF4"</f>
        <v>IRF4</v>
      </c>
      <c r="B7845" t="s">
        <v>3</v>
      </c>
    </row>
    <row r="7846" spans="1:2" x14ac:dyDescent="0.2">
      <c r="A7846" t="str">
        <f>"IRF5"</f>
        <v>IRF5</v>
      </c>
      <c r="B7846" t="s">
        <v>8</v>
      </c>
    </row>
    <row r="7847" spans="1:2" x14ac:dyDescent="0.2">
      <c r="A7847" t="str">
        <f>"IRF6"</f>
        <v>IRF6</v>
      </c>
      <c r="B7847" t="s">
        <v>8</v>
      </c>
    </row>
    <row r="7848" spans="1:2" x14ac:dyDescent="0.2">
      <c r="A7848" t="str">
        <f>"IRF7"</f>
        <v>IRF7</v>
      </c>
      <c r="B7848" t="s">
        <v>8</v>
      </c>
    </row>
    <row r="7849" spans="1:2" x14ac:dyDescent="0.2">
      <c r="A7849" t="str">
        <f>"IRF8"</f>
        <v>IRF8</v>
      </c>
      <c r="B7849" t="s">
        <v>2</v>
      </c>
    </row>
    <row r="7850" spans="1:2" x14ac:dyDescent="0.2">
      <c r="A7850" t="str">
        <f>"IRF9"</f>
        <v>IRF9</v>
      </c>
      <c r="B7850" t="s">
        <v>8</v>
      </c>
    </row>
    <row r="7851" spans="1:2" x14ac:dyDescent="0.2">
      <c r="A7851" t="str">
        <f>"IRG1"</f>
        <v>IRG1</v>
      </c>
      <c r="B7851" t="s">
        <v>4</v>
      </c>
    </row>
    <row r="7852" spans="1:2" x14ac:dyDescent="0.2">
      <c r="A7852" t="str">
        <f>"IRGC"</f>
        <v>IRGC</v>
      </c>
      <c r="B7852" t="s">
        <v>7</v>
      </c>
    </row>
    <row r="7853" spans="1:2" x14ac:dyDescent="0.2">
      <c r="A7853" t="str">
        <f>"IRGM"</f>
        <v>IRGM</v>
      </c>
      <c r="B7853" t="s">
        <v>6</v>
      </c>
    </row>
    <row r="7854" spans="1:2" x14ac:dyDescent="0.2">
      <c r="A7854" t="str">
        <f>"IRGQ"</f>
        <v>IRGQ</v>
      </c>
      <c r="B7854" t="s">
        <v>5</v>
      </c>
    </row>
    <row r="7855" spans="1:2" x14ac:dyDescent="0.2">
      <c r="A7855" t="str">
        <f>"IRS1"</f>
        <v>IRS1</v>
      </c>
      <c r="B7855" t="s">
        <v>3</v>
      </c>
    </row>
    <row r="7856" spans="1:2" x14ac:dyDescent="0.2">
      <c r="A7856" t="str">
        <f>"IRS2"</f>
        <v>IRS2</v>
      </c>
      <c r="B7856" t="s">
        <v>3</v>
      </c>
    </row>
    <row r="7857" spans="1:2" x14ac:dyDescent="0.2">
      <c r="A7857" t="str">
        <f>"IRS4"</f>
        <v>IRS4</v>
      </c>
      <c r="B7857" t="s">
        <v>3</v>
      </c>
    </row>
    <row r="7858" spans="1:2" x14ac:dyDescent="0.2">
      <c r="A7858" t="str">
        <f>"IRX1"</f>
        <v>IRX1</v>
      </c>
      <c r="B7858" t="s">
        <v>8</v>
      </c>
    </row>
    <row r="7859" spans="1:2" x14ac:dyDescent="0.2">
      <c r="A7859" t="str">
        <f>"IRX2"</f>
        <v>IRX2</v>
      </c>
      <c r="B7859" t="s">
        <v>8</v>
      </c>
    </row>
    <row r="7860" spans="1:2" x14ac:dyDescent="0.2">
      <c r="A7860" t="str">
        <f>"IRX3"</f>
        <v>IRX3</v>
      </c>
      <c r="B7860" t="s">
        <v>8</v>
      </c>
    </row>
    <row r="7861" spans="1:2" x14ac:dyDescent="0.2">
      <c r="A7861" t="str">
        <f>"IRX4"</f>
        <v>IRX4</v>
      </c>
      <c r="B7861" t="s">
        <v>8</v>
      </c>
    </row>
    <row r="7862" spans="1:2" x14ac:dyDescent="0.2">
      <c r="A7862" t="str">
        <f>"IRX5"</f>
        <v>IRX5</v>
      </c>
      <c r="B7862" t="s">
        <v>8</v>
      </c>
    </row>
    <row r="7863" spans="1:2" x14ac:dyDescent="0.2">
      <c r="A7863" t="str">
        <f>"IRX6"</f>
        <v>IRX6</v>
      </c>
      <c r="B7863" t="s">
        <v>8</v>
      </c>
    </row>
    <row r="7864" spans="1:2" x14ac:dyDescent="0.2">
      <c r="A7864" t="str">
        <f>"ISCA1"</f>
        <v>ISCA1</v>
      </c>
      <c r="B7864" t="s">
        <v>6</v>
      </c>
    </row>
    <row r="7865" spans="1:2" x14ac:dyDescent="0.2">
      <c r="A7865" t="str">
        <f>"ISCA2"</f>
        <v>ISCA2</v>
      </c>
      <c r="B7865" t="s">
        <v>6</v>
      </c>
    </row>
    <row r="7866" spans="1:2" x14ac:dyDescent="0.2">
      <c r="A7866" t="str">
        <f>"ISCU"</f>
        <v>ISCU</v>
      </c>
      <c r="B7866" t="s">
        <v>6</v>
      </c>
    </row>
    <row r="7867" spans="1:2" x14ac:dyDescent="0.2">
      <c r="A7867" t="str">
        <f>"ISG15"</f>
        <v>ISG15</v>
      </c>
      <c r="B7867" t="s">
        <v>2</v>
      </c>
    </row>
    <row r="7868" spans="1:2" x14ac:dyDescent="0.2">
      <c r="A7868" t="str">
        <f>"ISG20"</f>
        <v>ISG20</v>
      </c>
      <c r="B7868" t="s">
        <v>7</v>
      </c>
    </row>
    <row r="7869" spans="1:2" x14ac:dyDescent="0.2">
      <c r="A7869" t="str">
        <f>"ISG20L2"</f>
        <v>ISG20L2</v>
      </c>
      <c r="B7869" t="s">
        <v>4</v>
      </c>
    </row>
    <row r="7870" spans="1:2" x14ac:dyDescent="0.2">
      <c r="A7870" t="str">
        <f>"ISL1"</f>
        <v>ISL1</v>
      </c>
      <c r="B7870" t="s">
        <v>2</v>
      </c>
    </row>
    <row r="7871" spans="1:2" x14ac:dyDescent="0.2">
      <c r="A7871" t="str">
        <f>"ISL2"</f>
        <v>ISL2</v>
      </c>
      <c r="B7871" t="s">
        <v>2</v>
      </c>
    </row>
    <row r="7872" spans="1:2" x14ac:dyDescent="0.2">
      <c r="A7872" t="str">
        <f>"ISLR"</f>
        <v>ISLR</v>
      </c>
      <c r="B7872" t="s">
        <v>4</v>
      </c>
    </row>
    <row r="7873" spans="1:2" x14ac:dyDescent="0.2">
      <c r="A7873" t="str">
        <f>"ISLR2"</f>
        <v>ISLR2</v>
      </c>
      <c r="B7873" t="s">
        <v>4</v>
      </c>
    </row>
    <row r="7874" spans="1:2" x14ac:dyDescent="0.2">
      <c r="A7874" t="str">
        <f>"ISM1"</f>
        <v>ISM1</v>
      </c>
      <c r="B7874" t="s">
        <v>4</v>
      </c>
    </row>
    <row r="7875" spans="1:2" x14ac:dyDescent="0.2">
      <c r="A7875" t="str">
        <f>"ISM2"</f>
        <v>ISM2</v>
      </c>
      <c r="B7875" t="s">
        <v>4</v>
      </c>
    </row>
    <row r="7876" spans="1:2" x14ac:dyDescent="0.2">
      <c r="A7876" t="str">
        <f>"ISOC1"</f>
        <v>ISOC1</v>
      </c>
      <c r="B7876" t="s">
        <v>4</v>
      </c>
    </row>
    <row r="7877" spans="1:2" x14ac:dyDescent="0.2">
      <c r="A7877" t="str">
        <f>"ISOC2"</f>
        <v>ISOC2</v>
      </c>
      <c r="B7877" t="s">
        <v>6</v>
      </c>
    </row>
    <row r="7878" spans="1:2" x14ac:dyDescent="0.2">
      <c r="A7878" t="str">
        <f>"ISPD"</f>
        <v>ISPD</v>
      </c>
      <c r="B7878" t="s">
        <v>7</v>
      </c>
    </row>
    <row r="7879" spans="1:2" x14ac:dyDescent="0.2">
      <c r="A7879" t="str">
        <f>"IST1"</f>
        <v>IST1</v>
      </c>
      <c r="B7879" t="s">
        <v>6</v>
      </c>
    </row>
    <row r="7880" spans="1:2" x14ac:dyDescent="0.2">
      <c r="A7880" t="str">
        <f>"ISX"</f>
        <v>ISX</v>
      </c>
      <c r="B7880" t="s">
        <v>8</v>
      </c>
    </row>
    <row r="7881" spans="1:2" x14ac:dyDescent="0.2">
      <c r="A7881" t="str">
        <f>"ISY1"</f>
        <v>ISY1</v>
      </c>
      <c r="B7881" t="s">
        <v>8</v>
      </c>
    </row>
    <row r="7882" spans="1:2" x14ac:dyDescent="0.2">
      <c r="A7882" t="str">
        <f>"ISY1-RAB43"</f>
        <v>ISY1-RAB43</v>
      </c>
      <c r="B7882" t="s">
        <v>4</v>
      </c>
    </row>
    <row r="7883" spans="1:2" x14ac:dyDescent="0.2">
      <c r="A7883" t="str">
        <f>"ISYNA1"</f>
        <v>ISYNA1</v>
      </c>
      <c r="B7883" t="s">
        <v>7</v>
      </c>
    </row>
    <row r="7884" spans="1:2" x14ac:dyDescent="0.2">
      <c r="A7884" t="str">
        <f>"ITCH"</f>
        <v>ITCH</v>
      </c>
      <c r="B7884" t="s">
        <v>2</v>
      </c>
    </row>
    <row r="7885" spans="1:2" x14ac:dyDescent="0.2">
      <c r="A7885" t="str">
        <f>"ITFG1"</f>
        <v>ITFG1</v>
      </c>
      <c r="B7885" t="s">
        <v>5</v>
      </c>
    </row>
    <row r="7886" spans="1:2" x14ac:dyDescent="0.2">
      <c r="A7886" t="str">
        <f>"ITFG2"</f>
        <v>ITFG2</v>
      </c>
      <c r="B7886" t="s">
        <v>4</v>
      </c>
    </row>
    <row r="7887" spans="1:2" x14ac:dyDescent="0.2">
      <c r="A7887" t="str">
        <f>"ITFG3"</f>
        <v>ITFG3</v>
      </c>
      <c r="B7887" t="s">
        <v>5</v>
      </c>
    </row>
    <row r="7888" spans="1:2" x14ac:dyDescent="0.2">
      <c r="A7888" t="str">
        <f>"ITGA1"</f>
        <v>ITGA1</v>
      </c>
      <c r="B7888" t="s">
        <v>5</v>
      </c>
    </row>
    <row r="7889" spans="1:2" x14ac:dyDescent="0.2">
      <c r="A7889" t="str">
        <f>"ITGA10"</f>
        <v>ITGA10</v>
      </c>
      <c r="B7889" t="s">
        <v>5</v>
      </c>
    </row>
    <row r="7890" spans="1:2" x14ac:dyDescent="0.2">
      <c r="A7890" t="str">
        <f>"ITGA11"</f>
        <v>ITGA11</v>
      </c>
      <c r="B7890" t="s">
        <v>5</v>
      </c>
    </row>
    <row r="7891" spans="1:2" x14ac:dyDescent="0.2">
      <c r="A7891" t="str">
        <f>"ITGA2"</f>
        <v>ITGA2</v>
      </c>
      <c r="B7891" t="s">
        <v>6</v>
      </c>
    </row>
    <row r="7892" spans="1:2" x14ac:dyDescent="0.2">
      <c r="A7892" t="str">
        <f>"ITGA2B"</f>
        <v>ITGA2B</v>
      </c>
      <c r="B7892" t="s">
        <v>7</v>
      </c>
    </row>
    <row r="7893" spans="1:2" x14ac:dyDescent="0.2">
      <c r="A7893" t="str">
        <f>"ITGA3"</f>
        <v>ITGA3</v>
      </c>
      <c r="B7893" t="s">
        <v>6</v>
      </c>
    </row>
    <row r="7894" spans="1:2" x14ac:dyDescent="0.2">
      <c r="A7894" t="str">
        <f>"ITGA4"</f>
        <v>ITGA4</v>
      </c>
      <c r="B7894" t="s">
        <v>7</v>
      </c>
    </row>
    <row r="7895" spans="1:2" x14ac:dyDescent="0.2">
      <c r="A7895" t="str">
        <f>"ITGA5"</f>
        <v>ITGA5</v>
      </c>
      <c r="B7895" t="s">
        <v>3</v>
      </c>
    </row>
    <row r="7896" spans="1:2" x14ac:dyDescent="0.2">
      <c r="A7896" t="str">
        <f>"ITGA6"</f>
        <v>ITGA6</v>
      </c>
      <c r="B7896" t="s">
        <v>2</v>
      </c>
    </row>
    <row r="7897" spans="1:2" x14ac:dyDescent="0.2">
      <c r="A7897" t="str">
        <f>"ITGA7"</f>
        <v>ITGA7</v>
      </c>
      <c r="B7897" t="s">
        <v>5</v>
      </c>
    </row>
    <row r="7898" spans="1:2" x14ac:dyDescent="0.2">
      <c r="A7898" t="str">
        <f>"ITGA8"</f>
        <v>ITGA8</v>
      </c>
      <c r="B7898" t="s">
        <v>3</v>
      </c>
    </row>
    <row r="7899" spans="1:2" x14ac:dyDescent="0.2">
      <c r="A7899" t="str">
        <f>"ITGA9"</f>
        <v>ITGA9</v>
      </c>
      <c r="B7899" t="s">
        <v>5</v>
      </c>
    </row>
    <row r="7900" spans="1:2" x14ac:dyDescent="0.2">
      <c r="A7900" t="str">
        <f>"ITGAD"</f>
        <v>ITGAD</v>
      </c>
      <c r="B7900" t="s">
        <v>5</v>
      </c>
    </row>
    <row r="7901" spans="1:2" x14ac:dyDescent="0.2">
      <c r="A7901" t="str">
        <f>"ITGAE"</f>
        <v>ITGAE</v>
      </c>
      <c r="B7901" t="s">
        <v>5</v>
      </c>
    </row>
    <row r="7902" spans="1:2" x14ac:dyDescent="0.2">
      <c r="A7902" t="str">
        <f>"ITGAL"</f>
        <v>ITGAL</v>
      </c>
      <c r="B7902" t="s">
        <v>7</v>
      </c>
    </row>
    <row r="7903" spans="1:2" x14ac:dyDescent="0.2">
      <c r="A7903" t="str">
        <f>"ITGAM"</f>
        <v>ITGAM</v>
      </c>
      <c r="B7903" t="s">
        <v>5</v>
      </c>
    </row>
    <row r="7904" spans="1:2" x14ac:dyDescent="0.2">
      <c r="A7904" t="str">
        <f>"ITGAV"</f>
        <v>ITGAV</v>
      </c>
      <c r="B7904" t="s">
        <v>3</v>
      </c>
    </row>
    <row r="7905" spans="1:2" x14ac:dyDescent="0.2">
      <c r="A7905" t="str">
        <f>"ITGAX"</f>
        <v>ITGAX</v>
      </c>
      <c r="B7905" t="s">
        <v>5</v>
      </c>
    </row>
    <row r="7906" spans="1:2" x14ac:dyDescent="0.2">
      <c r="A7906" t="str">
        <f>"ITGB1"</f>
        <v>ITGB1</v>
      </c>
      <c r="B7906" t="s">
        <v>3</v>
      </c>
    </row>
    <row r="7907" spans="1:2" x14ac:dyDescent="0.2">
      <c r="A7907" t="str">
        <f>"ITGB1BP1"</f>
        <v>ITGB1BP1</v>
      </c>
      <c r="B7907" t="s">
        <v>3</v>
      </c>
    </row>
    <row r="7908" spans="1:2" x14ac:dyDescent="0.2">
      <c r="A7908" t="str">
        <f>"ITGB1BP2"</f>
        <v>ITGB1BP2</v>
      </c>
      <c r="B7908" t="s">
        <v>4</v>
      </c>
    </row>
    <row r="7909" spans="1:2" x14ac:dyDescent="0.2">
      <c r="A7909" t="str">
        <f>"ITGB2"</f>
        <v>ITGB2</v>
      </c>
      <c r="B7909" t="s">
        <v>3</v>
      </c>
    </row>
    <row r="7910" spans="1:2" x14ac:dyDescent="0.2">
      <c r="A7910" t="str">
        <f>"ITGB3"</f>
        <v>ITGB3</v>
      </c>
      <c r="B7910" t="s">
        <v>3</v>
      </c>
    </row>
    <row r="7911" spans="1:2" x14ac:dyDescent="0.2">
      <c r="A7911" t="str">
        <f>"ITGB3BP"</f>
        <v>ITGB3BP</v>
      </c>
      <c r="B7911" t="s">
        <v>3</v>
      </c>
    </row>
    <row r="7912" spans="1:2" x14ac:dyDescent="0.2">
      <c r="A7912" t="str">
        <f>"ITGB4"</f>
        <v>ITGB4</v>
      </c>
      <c r="B7912" t="s">
        <v>6</v>
      </c>
    </row>
    <row r="7913" spans="1:2" x14ac:dyDescent="0.2">
      <c r="A7913" t="str">
        <f>"ITGB5"</f>
        <v>ITGB5</v>
      </c>
      <c r="B7913" t="s">
        <v>3</v>
      </c>
    </row>
    <row r="7914" spans="1:2" x14ac:dyDescent="0.2">
      <c r="A7914" t="str">
        <f>"ITGB6"</f>
        <v>ITGB6</v>
      </c>
      <c r="B7914" t="s">
        <v>5</v>
      </c>
    </row>
    <row r="7915" spans="1:2" x14ac:dyDescent="0.2">
      <c r="A7915" t="str">
        <f>"ITGB7"</f>
        <v>ITGB7</v>
      </c>
      <c r="B7915" t="s">
        <v>5</v>
      </c>
    </row>
    <row r="7916" spans="1:2" x14ac:dyDescent="0.2">
      <c r="A7916" t="str">
        <f>"ITGB8"</f>
        <v>ITGB8</v>
      </c>
      <c r="B7916" t="s">
        <v>5</v>
      </c>
    </row>
    <row r="7917" spans="1:2" x14ac:dyDescent="0.2">
      <c r="A7917" t="str">
        <f>"ITGBL1"</f>
        <v>ITGBL1</v>
      </c>
      <c r="B7917" t="s">
        <v>2</v>
      </c>
    </row>
    <row r="7918" spans="1:2" x14ac:dyDescent="0.2">
      <c r="A7918" t="str">
        <f>"ITIH1"</f>
        <v>ITIH1</v>
      </c>
      <c r="B7918" t="s">
        <v>2</v>
      </c>
    </row>
    <row r="7919" spans="1:2" x14ac:dyDescent="0.2">
      <c r="A7919" t="str">
        <f>"ITIH2"</f>
        <v>ITIH2</v>
      </c>
      <c r="B7919" t="s">
        <v>4</v>
      </c>
    </row>
    <row r="7920" spans="1:2" x14ac:dyDescent="0.2">
      <c r="A7920" t="str">
        <f>"ITIH3"</f>
        <v>ITIH3</v>
      </c>
      <c r="B7920" t="s">
        <v>2</v>
      </c>
    </row>
    <row r="7921" spans="1:2" x14ac:dyDescent="0.2">
      <c r="A7921" t="str">
        <f>"ITIH4"</f>
        <v>ITIH4</v>
      </c>
      <c r="B7921" t="s">
        <v>2</v>
      </c>
    </row>
    <row r="7922" spans="1:2" x14ac:dyDescent="0.2">
      <c r="A7922" t="str">
        <f>"ITIH5"</f>
        <v>ITIH5</v>
      </c>
      <c r="B7922" t="s">
        <v>4</v>
      </c>
    </row>
    <row r="7923" spans="1:2" x14ac:dyDescent="0.2">
      <c r="A7923" t="str">
        <f>"ITIH6"</f>
        <v>ITIH6</v>
      </c>
      <c r="B7923" t="s">
        <v>3</v>
      </c>
    </row>
    <row r="7924" spans="1:2" x14ac:dyDescent="0.2">
      <c r="A7924" t="str">
        <f>"ITK"</f>
        <v>ITK</v>
      </c>
      <c r="B7924" t="s">
        <v>7</v>
      </c>
    </row>
    <row r="7925" spans="1:2" x14ac:dyDescent="0.2">
      <c r="A7925" t="str">
        <f>"ITLN1"</f>
        <v>ITLN1</v>
      </c>
      <c r="B7925" t="s">
        <v>6</v>
      </c>
    </row>
    <row r="7926" spans="1:2" x14ac:dyDescent="0.2">
      <c r="A7926" t="str">
        <f>"ITLN2"</f>
        <v>ITLN2</v>
      </c>
      <c r="B7926" t="s">
        <v>4</v>
      </c>
    </row>
    <row r="7927" spans="1:2" x14ac:dyDescent="0.2">
      <c r="A7927" t="str">
        <f>"ITM2A"</f>
        <v>ITM2A</v>
      </c>
      <c r="B7927" t="s">
        <v>3</v>
      </c>
    </row>
    <row r="7928" spans="1:2" x14ac:dyDescent="0.2">
      <c r="A7928" t="str">
        <f>"ITM2B"</f>
        <v>ITM2B</v>
      </c>
      <c r="B7928" t="s">
        <v>6</v>
      </c>
    </row>
    <row r="7929" spans="1:2" x14ac:dyDescent="0.2">
      <c r="A7929" t="str">
        <f>"ITM2C"</f>
        <v>ITM2C</v>
      </c>
      <c r="B7929" t="s">
        <v>5</v>
      </c>
    </row>
    <row r="7930" spans="1:2" x14ac:dyDescent="0.2">
      <c r="A7930" t="str">
        <f>"ITPA"</f>
        <v>ITPA</v>
      </c>
      <c r="B7930" t="s">
        <v>7</v>
      </c>
    </row>
    <row r="7931" spans="1:2" x14ac:dyDescent="0.2">
      <c r="A7931" t="str">
        <f>"ITPK1"</f>
        <v>ITPK1</v>
      </c>
      <c r="B7931" t="s">
        <v>7</v>
      </c>
    </row>
    <row r="7932" spans="1:2" x14ac:dyDescent="0.2">
      <c r="A7932" t="str">
        <f>"ITPKA"</f>
        <v>ITPKA</v>
      </c>
      <c r="B7932" t="s">
        <v>7</v>
      </c>
    </row>
    <row r="7933" spans="1:2" x14ac:dyDescent="0.2">
      <c r="A7933" t="str">
        <f>"ITPKB"</f>
        <v>ITPKB</v>
      </c>
      <c r="B7933" t="s">
        <v>7</v>
      </c>
    </row>
    <row r="7934" spans="1:2" x14ac:dyDescent="0.2">
      <c r="A7934" t="str">
        <f>"ITPKC"</f>
        <v>ITPKC</v>
      </c>
      <c r="B7934" t="s">
        <v>7</v>
      </c>
    </row>
    <row r="7935" spans="1:2" x14ac:dyDescent="0.2">
      <c r="A7935" t="str">
        <f>"ITPR1"</f>
        <v>ITPR1</v>
      </c>
      <c r="B7935" t="s">
        <v>3</v>
      </c>
    </row>
    <row r="7936" spans="1:2" x14ac:dyDescent="0.2">
      <c r="A7936" t="str">
        <f>"ITPR2"</f>
        <v>ITPR2</v>
      </c>
      <c r="B7936" t="s">
        <v>3</v>
      </c>
    </row>
    <row r="7937" spans="1:2" x14ac:dyDescent="0.2">
      <c r="A7937" t="str">
        <f>"ITPR3"</f>
        <v>ITPR3</v>
      </c>
      <c r="B7937" t="s">
        <v>6</v>
      </c>
    </row>
    <row r="7938" spans="1:2" x14ac:dyDescent="0.2">
      <c r="A7938" t="str">
        <f>"ITPRIP"</f>
        <v>ITPRIP</v>
      </c>
      <c r="B7938" t="s">
        <v>6</v>
      </c>
    </row>
    <row r="7939" spans="1:2" x14ac:dyDescent="0.2">
      <c r="A7939" t="str">
        <f>"ITPRIPL1"</f>
        <v>ITPRIPL1</v>
      </c>
      <c r="B7939" t="s">
        <v>5</v>
      </c>
    </row>
    <row r="7940" spans="1:2" x14ac:dyDescent="0.2">
      <c r="A7940" t="str">
        <f>"ITPRIPL2"</f>
        <v>ITPRIPL2</v>
      </c>
      <c r="B7940" t="s">
        <v>5</v>
      </c>
    </row>
    <row r="7941" spans="1:2" x14ac:dyDescent="0.2">
      <c r="A7941" t="str">
        <f>"ITSN1"</f>
        <v>ITSN1</v>
      </c>
      <c r="B7941" t="s">
        <v>2</v>
      </c>
    </row>
    <row r="7942" spans="1:2" x14ac:dyDescent="0.2">
      <c r="A7942" t="str">
        <f>"ITSN2"</f>
        <v>ITSN2</v>
      </c>
      <c r="B7942" t="s">
        <v>6</v>
      </c>
    </row>
    <row r="7943" spans="1:2" x14ac:dyDescent="0.2">
      <c r="A7943" t="str">
        <f>"IVD"</f>
        <v>IVD</v>
      </c>
      <c r="B7943" t="s">
        <v>3</v>
      </c>
    </row>
    <row r="7944" spans="1:2" x14ac:dyDescent="0.2">
      <c r="A7944" t="str">
        <f>"IVL"</f>
        <v>IVL</v>
      </c>
      <c r="B7944" t="s">
        <v>8</v>
      </c>
    </row>
    <row r="7945" spans="1:2" x14ac:dyDescent="0.2">
      <c r="A7945" t="str">
        <f>"IVNS1ABP"</f>
        <v>IVNS1ABP</v>
      </c>
      <c r="B7945" t="s">
        <v>2</v>
      </c>
    </row>
    <row r="7946" spans="1:2" x14ac:dyDescent="0.2">
      <c r="A7946" t="str">
        <f>"IWS1"</f>
        <v>IWS1</v>
      </c>
      <c r="B7946" t="s">
        <v>4</v>
      </c>
    </row>
    <row r="7947" spans="1:2" x14ac:dyDescent="0.2">
      <c r="A7947" t="str">
        <f>"IYD"</f>
        <v>IYD</v>
      </c>
      <c r="B7947" t="s">
        <v>7</v>
      </c>
    </row>
    <row r="7948" spans="1:2" x14ac:dyDescent="0.2">
      <c r="A7948" t="str">
        <f>"IZUMO1"</f>
        <v>IZUMO1</v>
      </c>
      <c r="B7948" t="s">
        <v>5</v>
      </c>
    </row>
    <row r="7949" spans="1:2" x14ac:dyDescent="0.2">
      <c r="A7949" t="str">
        <f>"IZUMO2"</f>
        <v>IZUMO2</v>
      </c>
      <c r="B7949" t="s">
        <v>5</v>
      </c>
    </row>
    <row r="7950" spans="1:2" x14ac:dyDescent="0.2">
      <c r="A7950" t="str">
        <f>"IZUMO3"</f>
        <v>IZUMO3</v>
      </c>
      <c r="B7950" t="s">
        <v>5</v>
      </c>
    </row>
    <row r="7951" spans="1:2" x14ac:dyDescent="0.2">
      <c r="A7951" t="str">
        <f>"IZUMO4"</f>
        <v>IZUMO4</v>
      </c>
      <c r="B7951" t="s">
        <v>5</v>
      </c>
    </row>
    <row r="7952" spans="1:2" x14ac:dyDescent="0.2">
      <c r="A7952" t="str">
        <f>"JAG1"</f>
        <v>JAG1</v>
      </c>
      <c r="B7952" t="s">
        <v>2</v>
      </c>
    </row>
    <row r="7953" spans="1:2" x14ac:dyDescent="0.2">
      <c r="A7953" t="str">
        <f>"JAG2"</f>
        <v>JAG2</v>
      </c>
      <c r="B7953" t="s">
        <v>3</v>
      </c>
    </row>
    <row r="7954" spans="1:2" x14ac:dyDescent="0.2">
      <c r="A7954" t="str">
        <f>"JAGN1"</f>
        <v>JAGN1</v>
      </c>
      <c r="B7954" t="s">
        <v>6</v>
      </c>
    </row>
    <row r="7955" spans="1:2" x14ac:dyDescent="0.2">
      <c r="A7955" t="str">
        <f>"JAK1"</f>
        <v>JAK1</v>
      </c>
      <c r="B7955" t="s">
        <v>7</v>
      </c>
    </row>
    <row r="7956" spans="1:2" x14ac:dyDescent="0.2">
      <c r="A7956" t="str">
        <f>"JAK2"</f>
        <v>JAK2</v>
      </c>
      <c r="B7956" t="s">
        <v>7</v>
      </c>
    </row>
    <row r="7957" spans="1:2" x14ac:dyDescent="0.2">
      <c r="A7957" t="str">
        <f>"JAK3"</f>
        <v>JAK3</v>
      </c>
      <c r="B7957" t="s">
        <v>7</v>
      </c>
    </row>
    <row r="7958" spans="1:2" x14ac:dyDescent="0.2">
      <c r="A7958" t="str">
        <f>"JAKMIP1"</f>
        <v>JAKMIP1</v>
      </c>
      <c r="B7958" t="s">
        <v>7</v>
      </c>
    </row>
    <row r="7959" spans="1:2" x14ac:dyDescent="0.2">
      <c r="A7959" t="str">
        <f>"JAKMIP2"</f>
        <v>JAKMIP2</v>
      </c>
      <c r="B7959" t="s">
        <v>5</v>
      </c>
    </row>
    <row r="7960" spans="1:2" x14ac:dyDescent="0.2">
      <c r="A7960" t="str">
        <f>"JAKMIP3"</f>
        <v>JAKMIP3</v>
      </c>
      <c r="B7960" t="s">
        <v>5</v>
      </c>
    </row>
    <row r="7961" spans="1:2" x14ac:dyDescent="0.2">
      <c r="A7961" t="str">
        <f>"JAM2"</f>
        <v>JAM2</v>
      </c>
      <c r="B7961" t="s">
        <v>5</v>
      </c>
    </row>
    <row r="7962" spans="1:2" x14ac:dyDescent="0.2">
      <c r="A7962" t="str">
        <f>"JAM3"</f>
        <v>JAM3</v>
      </c>
      <c r="B7962" t="s">
        <v>5</v>
      </c>
    </row>
    <row r="7963" spans="1:2" x14ac:dyDescent="0.2">
      <c r="A7963" t="str">
        <f>"JARID2"</f>
        <v>JARID2</v>
      </c>
      <c r="B7963" t="s">
        <v>8</v>
      </c>
    </row>
    <row r="7964" spans="1:2" x14ac:dyDescent="0.2">
      <c r="A7964" t="str">
        <f>"JAZF1"</f>
        <v>JAZF1</v>
      </c>
      <c r="B7964" t="s">
        <v>3</v>
      </c>
    </row>
    <row r="7965" spans="1:2" x14ac:dyDescent="0.2">
      <c r="A7965" t="str">
        <f>"JDP2"</f>
        <v>JDP2</v>
      </c>
      <c r="B7965" t="s">
        <v>8</v>
      </c>
    </row>
    <row r="7966" spans="1:2" x14ac:dyDescent="0.2">
      <c r="A7966" t="str">
        <f>"JHDM1D"</f>
        <v>JHDM1D</v>
      </c>
      <c r="B7966" t="s">
        <v>2</v>
      </c>
    </row>
    <row r="7967" spans="1:2" x14ac:dyDescent="0.2">
      <c r="A7967" t="str">
        <f>"JKAMP"</f>
        <v>JKAMP</v>
      </c>
      <c r="B7967" t="s">
        <v>3</v>
      </c>
    </row>
    <row r="7968" spans="1:2" x14ac:dyDescent="0.2">
      <c r="A7968" t="str">
        <f>"JMJD1C"</f>
        <v>JMJD1C</v>
      </c>
      <c r="B7968" t="s">
        <v>8</v>
      </c>
    </row>
    <row r="7969" spans="1:2" x14ac:dyDescent="0.2">
      <c r="A7969" t="str">
        <f>"JMJD4"</f>
        <v>JMJD4</v>
      </c>
      <c r="B7969" t="s">
        <v>8</v>
      </c>
    </row>
    <row r="7970" spans="1:2" x14ac:dyDescent="0.2">
      <c r="A7970" t="str">
        <f>"JMJD6"</f>
        <v>JMJD6</v>
      </c>
      <c r="B7970" t="s">
        <v>8</v>
      </c>
    </row>
    <row r="7971" spans="1:2" x14ac:dyDescent="0.2">
      <c r="A7971" t="str">
        <f>"JMJD7"</f>
        <v>JMJD7</v>
      </c>
      <c r="B7971" t="s">
        <v>3</v>
      </c>
    </row>
    <row r="7972" spans="1:2" x14ac:dyDescent="0.2">
      <c r="A7972" t="str">
        <f>"JMJD7-PLA2G4B"</f>
        <v>JMJD7-PLA2G4B</v>
      </c>
      <c r="B7972" t="s">
        <v>6</v>
      </c>
    </row>
    <row r="7973" spans="1:2" x14ac:dyDescent="0.2">
      <c r="A7973" t="str">
        <f>"JMJD8"</f>
        <v>JMJD8</v>
      </c>
      <c r="B7973" t="s">
        <v>4</v>
      </c>
    </row>
    <row r="7974" spans="1:2" x14ac:dyDescent="0.2">
      <c r="A7974" t="str">
        <f>"JMY"</f>
        <v>JMY</v>
      </c>
      <c r="B7974" t="s">
        <v>3</v>
      </c>
    </row>
    <row r="7975" spans="1:2" x14ac:dyDescent="0.2">
      <c r="A7975" t="str">
        <f>"JOSD1"</f>
        <v>JOSD1</v>
      </c>
      <c r="B7975" t="s">
        <v>2</v>
      </c>
    </row>
    <row r="7976" spans="1:2" x14ac:dyDescent="0.2">
      <c r="A7976" t="str">
        <f>"JOSD2"</f>
        <v>JOSD2</v>
      </c>
      <c r="B7976" t="s">
        <v>4</v>
      </c>
    </row>
    <row r="7977" spans="1:2" x14ac:dyDescent="0.2">
      <c r="A7977" t="str">
        <f>"JPH1"</f>
        <v>JPH1</v>
      </c>
      <c r="B7977" t="s">
        <v>6</v>
      </c>
    </row>
    <row r="7978" spans="1:2" x14ac:dyDescent="0.2">
      <c r="A7978" t="str">
        <f>"JPH2"</f>
        <v>JPH2</v>
      </c>
      <c r="B7978" t="s">
        <v>6</v>
      </c>
    </row>
    <row r="7979" spans="1:2" x14ac:dyDescent="0.2">
      <c r="A7979" t="str">
        <f>"JPH3"</f>
        <v>JPH3</v>
      </c>
      <c r="B7979" t="s">
        <v>3</v>
      </c>
    </row>
    <row r="7980" spans="1:2" x14ac:dyDescent="0.2">
      <c r="A7980" t="str">
        <f>"JPH4"</f>
        <v>JPH4</v>
      </c>
      <c r="B7980" t="s">
        <v>6</v>
      </c>
    </row>
    <row r="7981" spans="1:2" x14ac:dyDescent="0.2">
      <c r="A7981" t="str">
        <f>"JRK"</f>
        <v>JRK</v>
      </c>
      <c r="B7981" t="s">
        <v>8</v>
      </c>
    </row>
    <row r="7982" spans="1:2" x14ac:dyDescent="0.2">
      <c r="A7982" t="str">
        <f>"JRKL"</f>
        <v>JRKL</v>
      </c>
      <c r="B7982" t="s">
        <v>8</v>
      </c>
    </row>
    <row r="7983" spans="1:2" x14ac:dyDescent="0.2">
      <c r="A7983" t="str">
        <f>"JSRP1"</f>
        <v>JSRP1</v>
      </c>
      <c r="B7983" t="s">
        <v>4</v>
      </c>
    </row>
    <row r="7984" spans="1:2" x14ac:dyDescent="0.2">
      <c r="A7984" t="str">
        <f>"JTB"</f>
        <v>JTB</v>
      </c>
      <c r="B7984" t="s">
        <v>2</v>
      </c>
    </row>
    <row r="7985" spans="1:2" x14ac:dyDescent="0.2">
      <c r="A7985" t="str">
        <f>"JUN"</f>
        <v>JUN</v>
      </c>
      <c r="B7985" t="s">
        <v>3</v>
      </c>
    </row>
    <row r="7986" spans="1:2" x14ac:dyDescent="0.2">
      <c r="A7986" t="str">
        <f>"JUNB"</f>
        <v>JUNB</v>
      </c>
      <c r="B7986" t="s">
        <v>3</v>
      </c>
    </row>
    <row r="7987" spans="1:2" x14ac:dyDescent="0.2">
      <c r="A7987" t="str">
        <f>"JUND"</f>
        <v>JUND</v>
      </c>
      <c r="B7987" t="s">
        <v>3</v>
      </c>
    </row>
    <row r="7988" spans="1:2" x14ac:dyDescent="0.2">
      <c r="A7988" t="str">
        <f>"JUP"</f>
        <v>JUP</v>
      </c>
      <c r="B7988" t="s">
        <v>3</v>
      </c>
    </row>
    <row r="7989" spans="1:2" x14ac:dyDescent="0.2">
      <c r="A7989" t="str">
        <f>"KAAG1"</f>
        <v>KAAG1</v>
      </c>
      <c r="B7989" t="s">
        <v>4</v>
      </c>
    </row>
    <row r="7990" spans="1:2" x14ac:dyDescent="0.2">
      <c r="A7990" t="str">
        <f>"KAL1"</f>
        <v>KAL1</v>
      </c>
      <c r="B7990" t="s">
        <v>6</v>
      </c>
    </row>
    <row r="7991" spans="1:2" x14ac:dyDescent="0.2">
      <c r="A7991" t="str">
        <f>"KALRN"</f>
        <v>KALRN</v>
      </c>
      <c r="B7991" t="s">
        <v>7</v>
      </c>
    </row>
    <row r="7992" spans="1:2" x14ac:dyDescent="0.2">
      <c r="A7992" t="str">
        <f>"KANK1"</f>
        <v>KANK1</v>
      </c>
      <c r="B7992" t="s">
        <v>3</v>
      </c>
    </row>
    <row r="7993" spans="1:2" x14ac:dyDescent="0.2">
      <c r="A7993" t="str">
        <f>"KANK2"</f>
        <v>KANK2</v>
      </c>
      <c r="B7993" t="s">
        <v>6</v>
      </c>
    </row>
    <row r="7994" spans="1:2" x14ac:dyDescent="0.2">
      <c r="A7994" t="str">
        <f>"KANK3"</f>
        <v>KANK3</v>
      </c>
      <c r="B7994" t="s">
        <v>2</v>
      </c>
    </row>
    <row r="7995" spans="1:2" x14ac:dyDescent="0.2">
      <c r="A7995" t="str">
        <f>"KANK4"</f>
        <v>KANK4</v>
      </c>
      <c r="B7995" t="s">
        <v>4</v>
      </c>
    </row>
    <row r="7996" spans="1:2" x14ac:dyDescent="0.2">
      <c r="A7996" t="str">
        <f>"KANSL1"</f>
        <v>KANSL1</v>
      </c>
      <c r="B7996" t="s">
        <v>4</v>
      </c>
    </row>
    <row r="7997" spans="1:2" x14ac:dyDescent="0.2">
      <c r="A7997" t="str">
        <f>"KANSL1L"</f>
        <v>KANSL1L</v>
      </c>
      <c r="B7997" t="s">
        <v>8</v>
      </c>
    </row>
    <row r="7998" spans="1:2" x14ac:dyDescent="0.2">
      <c r="A7998" t="str">
        <f>"KANSL2"</f>
        <v>KANSL2</v>
      </c>
      <c r="B7998" t="s">
        <v>4</v>
      </c>
    </row>
    <row r="7999" spans="1:2" x14ac:dyDescent="0.2">
      <c r="A7999" t="str">
        <f>"KANSL3"</f>
        <v>KANSL3</v>
      </c>
      <c r="B7999" t="s">
        <v>4</v>
      </c>
    </row>
    <row r="8000" spans="1:2" x14ac:dyDescent="0.2">
      <c r="A8000" t="str">
        <f>"KARS"</f>
        <v>KARS</v>
      </c>
      <c r="B8000" t="s">
        <v>7</v>
      </c>
    </row>
    <row r="8001" spans="1:2" x14ac:dyDescent="0.2">
      <c r="A8001" t="str">
        <f>"KAT2A"</f>
        <v>KAT2A</v>
      </c>
      <c r="B8001" t="s">
        <v>7</v>
      </c>
    </row>
    <row r="8002" spans="1:2" x14ac:dyDescent="0.2">
      <c r="A8002" t="str">
        <f>"KAT2B"</f>
        <v>KAT2B</v>
      </c>
      <c r="B8002" t="s">
        <v>3</v>
      </c>
    </row>
    <row r="8003" spans="1:2" x14ac:dyDescent="0.2">
      <c r="A8003" t="str">
        <f>"KAT5"</f>
        <v>KAT5</v>
      </c>
      <c r="B8003" t="s">
        <v>7</v>
      </c>
    </row>
    <row r="8004" spans="1:2" x14ac:dyDescent="0.2">
      <c r="A8004" t="str">
        <f>"KAT6A"</f>
        <v>KAT6A</v>
      </c>
      <c r="B8004" t="s">
        <v>3</v>
      </c>
    </row>
    <row r="8005" spans="1:2" x14ac:dyDescent="0.2">
      <c r="A8005" t="str">
        <f>"KAT6B"</f>
        <v>KAT6B</v>
      </c>
      <c r="B8005" t="s">
        <v>3</v>
      </c>
    </row>
    <row r="8006" spans="1:2" x14ac:dyDescent="0.2">
      <c r="A8006" t="str">
        <f>"KAT7"</f>
        <v>KAT7</v>
      </c>
      <c r="B8006" t="s">
        <v>3</v>
      </c>
    </row>
    <row r="8007" spans="1:2" x14ac:dyDescent="0.2">
      <c r="A8007" t="str">
        <f>"KAT8"</f>
        <v>KAT8</v>
      </c>
      <c r="B8007" t="s">
        <v>6</v>
      </c>
    </row>
    <row r="8008" spans="1:2" x14ac:dyDescent="0.2">
      <c r="A8008" t="str">
        <f>"KATNA1"</f>
        <v>KATNA1</v>
      </c>
      <c r="B8008" t="s">
        <v>3</v>
      </c>
    </row>
    <row r="8009" spans="1:2" x14ac:dyDescent="0.2">
      <c r="A8009" t="str">
        <f>"KATNAL1"</f>
        <v>KATNAL1</v>
      </c>
      <c r="B8009" t="s">
        <v>8</v>
      </c>
    </row>
    <row r="8010" spans="1:2" x14ac:dyDescent="0.2">
      <c r="A8010" t="str">
        <f>"KATNAL2"</f>
        <v>KATNAL2</v>
      </c>
      <c r="B8010" t="s">
        <v>4</v>
      </c>
    </row>
    <row r="8011" spans="1:2" x14ac:dyDescent="0.2">
      <c r="A8011" t="str">
        <f>"KATNB1"</f>
        <v>KATNB1</v>
      </c>
      <c r="B8011" t="s">
        <v>3</v>
      </c>
    </row>
    <row r="8012" spans="1:2" x14ac:dyDescent="0.2">
      <c r="A8012" t="str">
        <f>"KATNBL1"</f>
        <v>KATNBL1</v>
      </c>
      <c r="B8012" t="s">
        <v>8</v>
      </c>
    </row>
    <row r="8013" spans="1:2" x14ac:dyDescent="0.2">
      <c r="A8013" t="str">
        <f>"KAZALD1"</f>
        <v>KAZALD1</v>
      </c>
      <c r="B8013" t="s">
        <v>8</v>
      </c>
    </row>
    <row r="8014" spans="1:2" x14ac:dyDescent="0.2">
      <c r="A8014" t="str">
        <f>"KAZN"</f>
        <v>KAZN</v>
      </c>
      <c r="B8014" t="s">
        <v>4</v>
      </c>
    </row>
    <row r="8015" spans="1:2" x14ac:dyDescent="0.2">
      <c r="A8015" t="str">
        <f>"KBTBD11"</f>
        <v>KBTBD11</v>
      </c>
      <c r="B8015" t="s">
        <v>2</v>
      </c>
    </row>
    <row r="8016" spans="1:2" x14ac:dyDescent="0.2">
      <c r="A8016" t="str">
        <f>"KBTBD12"</f>
        <v>KBTBD12</v>
      </c>
      <c r="B8016" t="s">
        <v>2</v>
      </c>
    </row>
    <row r="8017" spans="1:2" x14ac:dyDescent="0.2">
      <c r="A8017" t="str">
        <f>"KBTBD13"</f>
        <v>KBTBD13</v>
      </c>
      <c r="B8017" t="s">
        <v>2</v>
      </c>
    </row>
    <row r="8018" spans="1:2" x14ac:dyDescent="0.2">
      <c r="A8018" t="str">
        <f>"KBTBD2"</f>
        <v>KBTBD2</v>
      </c>
      <c r="B8018" t="s">
        <v>2</v>
      </c>
    </row>
    <row r="8019" spans="1:2" x14ac:dyDescent="0.2">
      <c r="A8019" t="str">
        <f>"KBTBD3"</f>
        <v>KBTBD3</v>
      </c>
      <c r="B8019" t="s">
        <v>2</v>
      </c>
    </row>
    <row r="8020" spans="1:2" x14ac:dyDescent="0.2">
      <c r="A8020" t="str">
        <f>"KBTBD4"</f>
        <v>KBTBD4</v>
      </c>
      <c r="B8020" t="s">
        <v>2</v>
      </c>
    </row>
    <row r="8021" spans="1:2" x14ac:dyDescent="0.2">
      <c r="A8021" t="str">
        <f>"KBTBD6"</f>
        <v>KBTBD6</v>
      </c>
      <c r="B8021" t="s">
        <v>2</v>
      </c>
    </row>
    <row r="8022" spans="1:2" x14ac:dyDescent="0.2">
      <c r="A8022" t="str">
        <f>"KBTBD7"</f>
        <v>KBTBD7</v>
      </c>
      <c r="B8022" t="s">
        <v>2</v>
      </c>
    </row>
    <row r="8023" spans="1:2" x14ac:dyDescent="0.2">
      <c r="A8023" t="str">
        <f>"KBTBD8"</f>
        <v>KBTBD8</v>
      </c>
      <c r="B8023" t="s">
        <v>2</v>
      </c>
    </row>
    <row r="8024" spans="1:2" x14ac:dyDescent="0.2">
      <c r="A8024" t="str">
        <f>"KCMF1"</f>
        <v>KCMF1</v>
      </c>
      <c r="B8024" t="s">
        <v>8</v>
      </c>
    </row>
    <row r="8025" spans="1:2" x14ac:dyDescent="0.2">
      <c r="A8025" t="str">
        <f>"KCNA1"</f>
        <v>KCNA1</v>
      </c>
      <c r="B8025" t="s">
        <v>7</v>
      </c>
    </row>
    <row r="8026" spans="1:2" x14ac:dyDescent="0.2">
      <c r="A8026" t="str">
        <f>"KCNA10"</f>
        <v>KCNA10</v>
      </c>
      <c r="B8026" t="s">
        <v>5</v>
      </c>
    </row>
    <row r="8027" spans="1:2" x14ac:dyDescent="0.2">
      <c r="A8027" t="str">
        <f>"KCNA2"</f>
        <v>KCNA2</v>
      </c>
      <c r="B8027" t="s">
        <v>5</v>
      </c>
    </row>
    <row r="8028" spans="1:2" x14ac:dyDescent="0.2">
      <c r="A8028" t="str">
        <f>"KCNA3"</f>
        <v>KCNA3</v>
      </c>
      <c r="B8028" t="s">
        <v>5</v>
      </c>
    </row>
    <row r="8029" spans="1:2" x14ac:dyDescent="0.2">
      <c r="A8029" t="str">
        <f>"KCNA4"</f>
        <v>KCNA4</v>
      </c>
      <c r="B8029" t="s">
        <v>7</v>
      </c>
    </row>
    <row r="8030" spans="1:2" x14ac:dyDescent="0.2">
      <c r="A8030" t="str">
        <f>"KCNA5"</f>
        <v>KCNA5</v>
      </c>
      <c r="B8030" t="s">
        <v>5</v>
      </c>
    </row>
    <row r="8031" spans="1:2" x14ac:dyDescent="0.2">
      <c r="A8031" t="str">
        <f>"KCNA6"</f>
        <v>KCNA6</v>
      </c>
      <c r="B8031" t="s">
        <v>5</v>
      </c>
    </row>
    <row r="8032" spans="1:2" x14ac:dyDescent="0.2">
      <c r="A8032" t="str">
        <f>"KCNA7"</f>
        <v>KCNA7</v>
      </c>
      <c r="B8032" t="s">
        <v>5</v>
      </c>
    </row>
    <row r="8033" spans="1:2" x14ac:dyDescent="0.2">
      <c r="A8033" t="str">
        <f>"KCNAB1"</f>
        <v>KCNAB1</v>
      </c>
      <c r="B8033" t="s">
        <v>4</v>
      </c>
    </row>
    <row r="8034" spans="1:2" x14ac:dyDescent="0.2">
      <c r="A8034" t="str">
        <f>"KCNAB2"</f>
        <v>KCNAB2</v>
      </c>
      <c r="B8034" t="s">
        <v>4</v>
      </c>
    </row>
    <row r="8035" spans="1:2" x14ac:dyDescent="0.2">
      <c r="A8035" t="str">
        <f>"KCNAB3"</f>
        <v>KCNAB3</v>
      </c>
      <c r="B8035" t="s">
        <v>4</v>
      </c>
    </row>
    <row r="8036" spans="1:2" x14ac:dyDescent="0.2">
      <c r="A8036" t="str">
        <f>"KCNB1"</f>
        <v>KCNB1</v>
      </c>
      <c r="B8036" t="s">
        <v>3</v>
      </c>
    </row>
    <row r="8037" spans="1:2" x14ac:dyDescent="0.2">
      <c r="A8037" t="str">
        <f>"KCNB2"</f>
        <v>KCNB2</v>
      </c>
      <c r="B8037" t="s">
        <v>5</v>
      </c>
    </row>
    <row r="8038" spans="1:2" x14ac:dyDescent="0.2">
      <c r="A8038" t="str">
        <f>"KCNC1"</f>
        <v>KCNC1</v>
      </c>
      <c r="B8038" t="s">
        <v>5</v>
      </c>
    </row>
    <row r="8039" spans="1:2" x14ac:dyDescent="0.2">
      <c r="A8039" t="str">
        <f>"KCNC2"</f>
        <v>KCNC2</v>
      </c>
      <c r="B8039" t="s">
        <v>5</v>
      </c>
    </row>
    <row r="8040" spans="1:2" x14ac:dyDescent="0.2">
      <c r="A8040" t="str">
        <f>"KCNC3"</f>
        <v>KCNC3</v>
      </c>
      <c r="B8040" t="s">
        <v>5</v>
      </c>
    </row>
    <row r="8041" spans="1:2" x14ac:dyDescent="0.2">
      <c r="A8041" t="str">
        <f>"KCNC4"</f>
        <v>KCNC4</v>
      </c>
      <c r="B8041" t="s">
        <v>7</v>
      </c>
    </row>
    <row r="8042" spans="1:2" x14ac:dyDescent="0.2">
      <c r="A8042" t="str">
        <f>"KCND1"</f>
        <v>KCND1</v>
      </c>
      <c r="B8042" t="s">
        <v>5</v>
      </c>
    </row>
    <row r="8043" spans="1:2" x14ac:dyDescent="0.2">
      <c r="A8043" t="str">
        <f>"KCND2"</f>
        <v>KCND2</v>
      </c>
      <c r="B8043" t="s">
        <v>7</v>
      </c>
    </row>
    <row r="8044" spans="1:2" x14ac:dyDescent="0.2">
      <c r="A8044" t="str">
        <f>"KCND3"</f>
        <v>KCND3</v>
      </c>
      <c r="B8044" t="s">
        <v>7</v>
      </c>
    </row>
    <row r="8045" spans="1:2" x14ac:dyDescent="0.2">
      <c r="A8045" t="str">
        <f>"KCNE1"</f>
        <v>KCNE1</v>
      </c>
      <c r="B8045" t="s">
        <v>7</v>
      </c>
    </row>
    <row r="8046" spans="1:2" x14ac:dyDescent="0.2">
      <c r="A8046" t="str">
        <f>"KCNE1L"</f>
        <v>KCNE1L</v>
      </c>
      <c r="B8046" t="s">
        <v>5</v>
      </c>
    </row>
    <row r="8047" spans="1:2" x14ac:dyDescent="0.2">
      <c r="A8047" t="str">
        <f>"KCNE2"</f>
        <v>KCNE2</v>
      </c>
      <c r="B8047" t="s">
        <v>2</v>
      </c>
    </row>
    <row r="8048" spans="1:2" x14ac:dyDescent="0.2">
      <c r="A8048" t="str">
        <f>"KCNE3"</f>
        <v>KCNE3</v>
      </c>
      <c r="B8048" t="s">
        <v>5</v>
      </c>
    </row>
    <row r="8049" spans="1:2" x14ac:dyDescent="0.2">
      <c r="A8049" t="str">
        <f>"KCNE4"</f>
        <v>KCNE4</v>
      </c>
      <c r="B8049" t="s">
        <v>5</v>
      </c>
    </row>
    <row r="8050" spans="1:2" x14ac:dyDescent="0.2">
      <c r="A8050" t="str">
        <f>"KCNF1"</f>
        <v>KCNF1</v>
      </c>
      <c r="B8050" t="s">
        <v>5</v>
      </c>
    </row>
    <row r="8051" spans="1:2" x14ac:dyDescent="0.2">
      <c r="A8051" t="str">
        <f>"KCNG1"</f>
        <v>KCNG1</v>
      </c>
      <c r="B8051" t="s">
        <v>5</v>
      </c>
    </row>
    <row r="8052" spans="1:2" x14ac:dyDescent="0.2">
      <c r="A8052" t="str">
        <f>"KCNG2"</f>
        <v>KCNG2</v>
      </c>
      <c r="B8052" t="s">
        <v>4</v>
      </c>
    </row>
    <row r="8053" spans="1:2" x14ac:dyDescent="0.2">
      <c r="A8053" t="str">
        <f>"KCNG3"</f>
        <v>KCNG3</v>
      </c>
      <c r="B8053" t="s">
        <v>2</v>
      </c>
    </row>
    <row r="8054" spans="1:2" x14ac:dyDescent="0.2">
      <c r="A8054" t="str">
        <f>"KCNG4"</f>
        <v>KCNG4</v>
      </c>
      <c r="B8054" t="s">
        <v>5</v>
      </c>
    </row>
    <row r="8055" spans="1:2" x14ac:dyDescent="0.2">
      <c r="A8055" t="str">
        <f>"KCNH1"</f>
        <v>KCNH1</v>
      </c>
      <c r="B8055" t="s">
        <v>8</v>
      </c>
    </row>
    <row r="8056" spans="1:2" x14ac:dyDescent="0.2">
      <c r="A8056" t="str">
        <f>"KCNH2"</f>
        <v>KCNH2</v>
      </c>
      <c r="B8056" t="s">
        <v>7</v>
      </c>
    </row>
    <row r="8057" spans="1:2" x14ac:dyDescent="0.2">
      <c r="A8057" t="str">
        <f>"KCNH3"</f>
        <v>KCNH3</v>
      </c>
      <c r="B8057" t="s">
        <v>8</v>
      </c>
    </row>
    <row r="8058" spans="1:2" x14ac:dyDescent="0.2">
      <c r="A8058" t="str">
        <f>"KCNH4"</f>
        <v>KCNH4</v>
      </c>
      <c r="B8058" t="s">
        <v>8</v>
      </c>
    </row>
    <row r="8059" spans="1:2" x14ac:dyDescent="0.2">
      <c r="A8059" t="str">
        <f>"KCNH5"</f>
        <v>KCNH5</v>
      </c>
      <c r="B8059" t="s">
        <v>8</v>
      </c>
    </row>
    <row r="8060" spans="1:2" x14ac:dyDescent="0.2">
      <c r="A8060" t="str">
        <f>"KCNH6"</f>
        <v>KCNH6</v>
      </c>
      <c r="B8060" t="s">
        <v>7</v>
      </c>
    </row>
    <row r="8061" spans="1:2" x14ac:dyDescent="0.2">
      <c r="A8061" t="str">
        <f>"KCNH7"</f>
        <v>KCNH7</v>
      </c>
      <c r="B8061" t="s">
        <v>7</v>
      </c>
    </row>
    <row r="8062" spans="1:2" x14ac:dyDescent="0.2">
      <c r="A8062" t="str">
        <f>"KCNH8"</f>
        <v>KCNH8</v>
      </c>
      <c r="B8062" t="s">
        <v>8</v>
      </c>
    </row>
    <row r="8063" spans="1:2" x14ac:dyDescent="0.2">
      <c r="A8063" t="str">
        <f>"KCNIP1"</f>
        <v>KCNIP1</v>
      </c>
      <c r="B8063" t="s">
        <v>3</v>
      </c>
    </row>
    <row r="8064" spans="1:2" x14ac:dyDescent="0.2">
      <c r="A8064" t="str">
        <f>"KCNIP2"</f>
        <v>KCNIP2</v>
      </c>
      <c r="B8064" t="s">
        <v>2</v>
      </c>
    </row>
    <row r="8065" spans="1:2" x14ac:dyDescent="0.2">
      <c r="A8065" t="str">
        <f>"KCNIP3"</f>
        <v>KCNIP3</v>
      </c>
      <c r="B8065" t="s">
        <v>2</v>
      </c>
    </row>
    <row r="8066" spans="1:2" x14ac:dyDescent="0.2">
      <c r="A8066" t="str">
        <f>"KCNIP4"</f>
        <v>KCNIP4</v>
      </c>
      <c r="B8066" t="s">
        <v>5</v>
      </c>
    </row>
    <row r="8067" spans="1:2" x14ac:dyDescent="0.2">
      <c r="A8067" t="str">
        <f>"KCNJ1"</f>
        <v>KCNJ1</v>
      </c>
      <c r="B8067" t="s">
        <v>7</v>
      </c>
    </row>
    <row r="8068" spans="1:2" x14ac:dyDescent="0.2">
      <c r="A8068" t="str">
        <f>"KCNJ10"</f>
        <v>KCNJ10</v>
      </c>
      <c r="B8068" t="s">
        <v>5</v>
      </c>
    </row>
    <row r="8069" spans="1:2" x14ac:dyDescent="0.2">
      <c r="A8069" t="str">
        <f>"KCNJ11"</f>
        <v>KCNJ11</v>
      </c>
      <c r="B8069" t="s">
        <v>7</v>
      </c>
    </row>
    <row r="8070" spans="1:2" x14ac:dyDescent="0.2">
      <c r="A8070" t="str">
        <f>"KCNJ12"</f>
        <v>KCNJ12</v>
      </c>
      <c r="B8070" t="s">
        <v>7</v>
      </c>
    </row>
    <row r="8071" spans="1:2" x14ac:dyDescent="0.2">
      <c r="A8071" t="str">
        <f>"KCNJ13"</f>
        <v>KCNJ13</v>
      </c>
      <c r="B8071" t="s">
        <v>5</v>
      </c>
    </row>
    <row r="8072" spans="1:2" x14ac:dyDescent="0.2">
      <c r="A8072" t="str">
        <f>"KCNJ14"</f>
        <v>KCNJ14</v>
      </c>
      <c r="B8072" t="s">
        <v>5</v>
      </c>
    </row>
    <row r="8073" spans="1:2" x14ac:dyDescent="0.2">
      <c r="A8073" t="str">
        <f>"KCNJ15"</f>
        <v>KCNJ15</v>
      </c>
      <c r="B8073" t="s">
        <v>5</v>
      </c>
    </row>
    <row r="8074" spans="1:2" x14ac:dyDescent="0.2">
      <c r="A8074" t="str">
        <f>"KCNJ16"</f>
        <v>KCNJ16</v>
      </c>
      <c r="B8074" t="s">
        <v>5</v>
      </c>
    </row>
    <row r="8075" spans="1:2" x14ac:dyDescent="0.2">
      <c r="A8075" t="str">
        <f>"KCNJ18"</f>
        <v>KCNJ18</v>
      </c>
      <c r="B8075" t="s">
        <v>4</v>
      </c>
    </row>
    <row r="8076" spans="1:2" x14ac:dyDescent="0.2">
      <c r="A8076" t="str">
        <f>"KCNJ2"</f>
        <v>KCNJ2</v>
      </c>
      <c r="B8076" t="s">
        <v>5</v>
      </c>
    </row>
    <row r="8077" spans="1:2" x14ac:dyDescent="0.2">
      <c r="A8077" t="str">
        <f>"KCNJ3"</f>
        <v>KCNJ3</v>
      </c>
      <c r="B8077" t="s">
        <v>7</v>
      </c>
    </row>
    <row r="8078" spans="1:2" x14ac:dyDescent="0.2">
      <c r="A8078" t="str">
        <f>"KCNJ4"</f>
        <v>KCNJ4</v>
      </c>
      <c r="B8078" t="s">
        <v>5</v>
      </c>
    </row>
    <row r="8079" spans="1:2" x14ac:dyDescent="0.2">
      <c r="A8079" t="str">
        <f>"KCNJ5"</f>
        <v>KCNJ5</v>
      </c>
      <c r="B8079" t="s">
        <v>7</v>
      </c>
    </row>
    <row r="8080" spans="1:2" x14ac:dyDescent="0.2">
      <c r="A8080" t="str">
        <f>"KCNJ6"</f>
        <v>KCNJ6</v>
      </c>
      <c r="B8080" t="s">
        <v>7</v>
      </c>
    </row>
    <row r="8081" spans="1:2" x14ac:dyDescent="0.2">
      <c r="A8081" t="str">
        <f>"KCNJ8"</f>
        <v>KCNJ8</v>
      </c>
      <c r="B8081" t="s">
        <v>7</v>
      </c>
    </row>
    <row r="8082" spans="1:2" x14ac:dyDescent="0.2">
      <c r="A8082" t="str">
        <f>"KCNJ9"</f>
        <v>KCNJ9</v>
      </c>
      <c r="B8082" t="s">
        <v>5</v>
      </c>
    </row>
    <row r="8083" spans="1:2" x14ac:dyDescent="0.2">
      <c r="A8083" t="str">
        <f>"KCNK1"</f>
        <v>KCNK1</v>
      </c>
      <c r="B8083" t="s">
        <v>7</v>
      </c>
    </row>
    <row r="8084" spans="1:2" x14ac:dyDescent="0.2">
      <c r="A8084" t="str">
        <f>"KCNK10"</f>
        <v>KCNK10</v>
      </c>
      <c r="B8084" t="s">
        <v>5</v>
      </c>
    </row>
    <row r="8085" spans="1:2" x14ac:dyDescent="0.2">
      <c r="A8085" t="str">
        <f>"KCNK12"</f>
        <v>KCNK12</v>
      </c>
      <c r="B8085" t="s">
        <v>6</v>
      </c>
    </row>
    <row r="8086" spans="1:2" x14ac:dyDescent="0.2">
      <c r="A8086" t="str">
        <f>"KCNK13"</f>
        <v>KCNK13</v>
      </c>
      <c r="B8086" t="s">
        <v>5</v>
      </c>
    </row>
    <row r="8087" spans="1:2" x14ac:dyDescent="0.2">
      <c r="A8087" t="str">
        <f>"KCNK15"</f>
        <v>KCNK15</v>
      </c>
      <c r="B8087" t="s">
        <v>5</v>
      </c>
    </row>
    <row r="8088" spans="1:2" x14ac:dyDescent="0.2">
      <c r="A8088" t="str">
        <f>"KCNK16"</f>
        <v>KCNK16</v>
      </c>
      <c r="B8088" t="s">
        <v>5</v>
      </c>
    </row>
    <row r="8089" spans="1:2" x14ac:dyDescent="0.2">
      <c r="A8089" t="str">
        <f>"KCNK17"</f>
        <v>KCNK17</v>
      </c>
      <c r="B8089" t="s">
        <v>5</v>
      </c>
    </row>
    <row r="8090" spans="1:2" x14ac:dyDescent="0.2">
      <c r="A8090" t="str">
        <f>"KCNK18"</f>
        <v>KCNK18</v>
      </c>
      <c r="B8090" t="s">
        <v>5</v>
      </c>
    </row>
    <row r="8091" spans="1:2" x14ac:dyDescent="0.2">
      <c r="A8091" t="str">
        <f>"KCNK2"</f>
        <v>KCNK2</v>
      </c>
      <c r="B8091" t="s">
        <v>7</v>
      </c>
    </row>
    <row r="8092" spans="1:2" x14ac:dyDescent="0.2">
      <c r="A8092" t="str">
        <f>"KCNK3"</f>
        <v>KCNK3</v>
      </c>
      <c r="B8092" t="s">
        <v>7</v>
      </c>
    </row>
    <row r="8093" spans="1:2" x14ac:dyDescent="0.2">
      <c r="A8093" t="str">
        <f>"KCNK4"</f>
        <v>KCNK4</v>
      </c>
      <c r="B8093" t="s">
        <v>5</v>
      </c>
    </row>
    <row r="8094" spans="1:2" x14ac:dyDescent="0.2">
      <c r="A8094" t="str">
        <f>"KCNK5"</f>
        <v>KCNK5</v>
      </c>
      <c r="B8094" t="s">
        <v>5</v>
      </c>
    </row>
    <row r="8095" spans="1:2" x14ac:dyDescent="0.2">
      <c r="A8095" t="str">
        <f>"KCNK6"</f>
        <v>KCNK6</v>
      </c>
      <c r="B8095" t="s">
        <v>7</v>
      </c>
    </row>
    <row r="8096" spans="1:2" x14ac:dyDescent="0.2">
      <c r="A8096" t="str">
        <f>"KCNK7"</f>
        <v>KCNK7</v>
      </c>
      <c r="B8096" t="s">
        <v>5</v>
      </c>
    </row>
    <row r="8097" spans="1:2" x14ac:dyDescent="0.2">
      <c r="A8097" t="str">
        <f>"KCNK9"</f>
        <v>KCNK9</v>
      </c>
      <c r="B8097" t="s">
        <v>7</v>
      </c>
    </row>
    <row r="8098" spans="1:2" x14ac:dyDescent="0.2">
      <c r="A8098" t="str">
        <f>"KCNMA1"</f>
        <v>KCNMA1</v>
      </c>
      <c r="B8098" t="s">
        <v>7</v>
      </c>
    </row>
    <row r="8099" spans="1:2" x14ac:dyDescent="0.2">
      <c r="A8099" t="str">
        <f>"KCNMB1"</f>
        <v>KCNMB1</v>
      </c>
      <c r="B8099" t="s">
        <v>7</v>
      </c>
    </row>
    <row r="8100" spans="1:2" x14ac:dyDescent="0.2">
      <c r="A8100" t="str">
        <f>"KCNMB2"</f>
        <v>KCNMB2</v>
      </c>
      <c r="B8100" t="s">
        <v>7</v>
      </c>
    </row>
    <row r="8101" spans="1:2" x14ac:dyDescent="0.2">
      <c r="A8101" t="str">
        <f>"KCNMB3"</f>
        <v>KCNMB3</v>
      </c>
      <c r="B8101" t="s">
        <v>7</v>
      </c>
    </row>
    <row r="8102" spans="1:2" x14ac:dyDescent="0.2">
      <c r="A8102" t="str">
        <f>"KCNMB4"</f>
        <v>KCNMB4</v>
      </c>
      <c r="B8102" t="s">
        <v>7</v>
      </c>
    </row>
    <row r="8103" spans="1:2" x14ac:dyDescent="0.2">
      <c r="A8103" t="str">
        <f>"KCNN1"</f>
        <v>KCNN1</v>
      </c>
      <c r="B8103" t="s">
        <v>7</v>
      </c>
    </row>
    <row r="8104" spans="1:2" x14ac:dyDescent="0.2">
      <c r="A8104" t="str">
        <f>"KCNN2"</f>
        <v>KCNN2</v>
      </c>
      <c r="B8104" t="s">
        <v>7</v>
      </c>
    </row>
    <row r="8105" spans="1:2" x14ac:dyDescent="0.2">
      <c r="A8105" t="str">
        <f>"KCNN3"</f>
        <v>KCNN3</v>
      </c>
      <c r="B8105" t="s">
        <v>7</v>
      </c>
    </row>
    <row r="8106" spans="1:2" x14ac:dyDescent="0.2">
      <c r="A8106" t="str">
        <f>"KCNN4"</f>
        <v>KCNN4</v>
      </c>
      <c r="B8106" t="s">
        <v>7</v>
      </c>
    </row>
    <row r="8107" spans="1:2" x14ac:dyDescent="0.2">
      <c r="A8107" t="str">
        <f>"KCNQ1"</f>
        <v>KCNQ1</v>
      </c>
      <c r="B8107" t="s">
        <v>7</v>
      </c>
    </row>
    <row r="8108" spans="1:2" x14ac:dyDescent="0.2">
      <c r="A8108" t="str">
        <f>"KCNQ2"</f>
        <v>KCNQ2</v>
      </c>
      <c r="B8108" t="s">
        <v>7</v>
      </c>
    </row>
    <row r="8109" spans="1:2" x14ac:dyDescent="0.2">
      <c r="A8109" t="str">
        <f>"KCNQ3"</f>
        <v>KCNQ3</v>
      </c>
      <c r="B8109" t="s">
        <v>7</v>
      </c>
    </row>
    <row r="8110" spans="1:2" x14ac:dyDescent="0.2">
      <c r="A8110" t="str">
        <f>"KCNQ4"</f>
        <v>KCNQ4</v>
      </c>
      <c r="B8110" t="s">
        <v>5</v>
      </c>
    </row>
    <row r="8111" spans="1:2" x14ac:dyDescent="0.2">
      <c r="A8111" t="str">
        <f>"KCNQ5"</f>
        <v>KCNQ5</v>
      </c>
      <c r="B8111" t="s">
        <v>5</v>
      </c>
    </row>
    <row r="8112" spans="1:2" x14ac:dyDescent="0.2">
      <c r="A8112" t="str">
        <f>"KCNRG"</f>
        <v>KCNRG</v>
      </c>
      <c r="B8112" t="s">
        <v>2</v>
      </c>
    </row>
    <row r="8113" spans="1:2" x14ac:dyDescent="0.2">
      <c r="A8113" t="str">
        <f>"KCNS1"</f>
        <v>KCNS1</v>
      </c>
      <c r="B8113" t="s">
        <v>5</v>
      </c>
    </row>
    <row r="8114" spans="1:2" x14ac:dyDescent="0.2">
      <c r="A8114" t="str">
        <f>"KCNS2"</f>
        <v>KCNS2</v>
      </c>
      <c r="B8114" t="s">
        <v>5</v>
      </c>
    </row>
    <row r="8115" spans="1:2" x14ac:dyDescent="0.2">
      <c r="A8115" t="str">
        <f>"KCNS3"</f>
        <v>KCNS3</v>
      </c>
      <c r="B8115" t="s">
        <v>5</v>
      </c>
    </row>
    <row r="8116" spans="1:2" x14ac:dyDescent="0.2">
      <c r="A8116" t="str">
        <f>"KCNT1"</f>
        <v>KCNT1</v>
      </c>
      <c r="B8116" t="s">
        <v>5</v>
      </c>
    </row>
    <row r="8117" spans="1:2" x14ac:dyDescent="0.2">
      <c r="A8117" t="str">
        <f>"KCNT2"</f>
        <v>KCNT2</v>
      </c>
      <c r="B8117" t="s">
        <v>5</v>
      </c>
    </row>
    <row r="8118" spans="1:2" x14ac:dyDescent="0.2">
      <c r="A8118" t="str">
        <f>"KCNU1"</f>
        <v>KCNU1</v>
      </c>
      <c r="B8118" t="s">
        <v>5</v>
      </c>
    </row>
    <row r="8119" spans="1:2" x14ac:dyDescent="0.2">
      <c r="A8119" t="str">
        <f>"KCNV1"</f>
        <v>KCNV1</v>
      </c>
      <c r="B8119" t="s">
        <v>5</v>
      </c>
    </row>
    <row r="8120" spans="1:2" x14ac:dyDescent="0.2">
      <c r="A8120" t="str">
        <f>"KCNV2"</f>
        <v>KCNV2</v>
      </c>
      <c r="B8120" t="s">
        <v>5</v>
      </c>
    </row>
    <row r="8121" spans="1:2" x14ac:dyDescent="0.2">
      <c r="A8121" t="str">
        <f>"KCP"</f>
        <v>KCP</v>
      </c>
      <c r="B8121" t="s">
        <v>4</v>
      </c>
    </row>
    <row r="8122" spans="1:2" x14ac:dyDescent="0.2">
      <c r="A8122" t="str">
        <f>"KCTD1"</f>
        <v>KCTD1</v>
      </c>
      <c r="B8122" t="s">
        <v>2</v>
      </c>
    </row>
    <row r="8123" spans="1:2" x14ac:dyDescent="0.2">
      <c r="A8123" t="str">
        <f>"KCTD10"</f>
        <v>KCTD10</v>
      </c>
      <c r="B8123" t="s">
        <v>2</v>
      </c>
    </row>
    <row r="8124" spans="1:2" x14ac:dyDescent="0.2">
      <c r="A8124" t="str">
        <f>"KCTD11"</f>
        <v>KCTD11</v>
      </c>
      <c r="B8124" t="s">
        <v>3</v>
      </c>
    </row>
    <row r="8125" spans="1:2" x14ac:dyDescent="0.2">
      <c r="A8125" t="str">
        <f>"KCTD12"</f>
        <v>KCTD12</v>
      </c>
      <c r="B8125" t="s">
        <v>2</v>
      </c>
    </row>
    <row r="8126" spans="1:2" x14ac:dyDescent="0.2">
      <c r="A8126" t="str">
        <f>"KCTD13"</f>
        <v>KCTD13</v>
      </c>
      <c r="B8126" t="s">
        <v>2</v>
      </c>
    </row>
    <row r="8127" spans="1:2" x14ac:dyDescent="0.2">
      <c r="A8127" t="str">
        <f>"KCTD14"</f>
        <v>KCTD14</v>
      </c>
      <c r="B8127" t="s">
        <v>2</v>
      </c>
    </row>
    <row r="8128" spans="1:2" x14ac:dyDescent="0.2">
      <c r="A8128" t="str">
        <f>"KCTD15"</f>
        <v>KCTD15</v>
      </c>
      <c r="B8128" t="s">
        <v>2</v>
      </c>
    </row>
    <row r="8129" spans="1:2" x14ac:dyDescent="0.2">
      <c r="A8129" t="str">
        <f>"KCTD16"</f>
        <v>KCTD16</v>
      </c>
      <c r="B8129" t="s">
        <v>2</v>
      </c>
    </row>
    <row r="8130" spans="1:2" x14ac:dyDescent="0.2">
      <c r="A8130" t="str">
        <f>"KCTD17"</f>
        <v>KCTD17</v>
      </c>
      <c r="B8130" t="s">
        <v>2</v>
      </c>
    </row>
    <row r="8131" spans="1:2" x14ac:dyDescent="0.2">
      <c r="A8131" t="str">
        <f>"KCTD18"</f>
        <v>KCTD18</v>
      </c>
      <c r="B8131" t="s">
        <v>2</v>
      </c>
    </row>
    <row r="8132" spans="1:2" x14ac:dyDescent="0.2">
      <c r="A8132" t="str">
        <f>"KCTD19"</f>
        <v>KCTD19</v>
      </c>
      <c r="B8132" t="s">
        <v>2</v>
      </c>
    </row>
    <row r="8133" spans="1:2" x14ac:dyDescent="0.2">
      <c r="A8133" t="str">
        <f>"KCTD2"</f>
        <v>KCTD2</v>
      </c>
      <c r="B8133" t="s">
        <v>2</v>
      </c>
    </row>
    <row r="8134" spans="1:2" x14ac:dyDescent="0.2">
      <c r="A8134" t="str">
        <f>"KCTD20"</f>
        <v>KCTD20</v>
      </c>
      <c r="B8134" t="s">
        <v>2</v>
      </c>
    </row>
    <row r="8135" spans="1:2" x14ac:dyDescent="0.2">
      <c r="A8135" t="str">
        <f>"KCTD21"</f>
        <v>KCTD21</v>
      </c>
      <c r="B8135" t="s">
        <v>2</v>
      </c>
    </row>
    <row r="8136" spans="1:2" x14ac:dyDescent="0.2">
      <c r="A8136" t="str">
        <f>"KCTD3"</f>
        <v>KCTD3</v>
      </c>
      <c r="B8136" t="s">
        <v>2</v>
      </c>
    </row>
    <row r="8137" spans="1:2" x14ac:dyDescent="0.2">
      <c r="A8137" t="str">
        <f>"KCTD4"</f>
        <v>KCTD4</v>
      </c>
      <c r="B8137" t="s">
        <v>2</v>
      </c>
    </row>
    <row r="8138" spans="1:2" x14ac:dyDescent="0.2">
      <c r="A8138" t="str">
        <f>"KCTD5"</f>
        <v>KCTD5</v>
      </c>
      <c r="B8138" t="s">
        <v>2</v>
      </c>
    </row>
    <row r="8139" spans="1:2" x14ac:dyDescent="0.2">
      <c r="A8139" t="str">
        <f>"KCTD6"</f>
        <v>KCTD6</v>
      </c>
      <c r="B8139" t="s">
        <v>2</v>
      </c>
    </row>
    <row r="8140" spans="1:2" x14ac:dyDescent="0.2">
      <c r="A8140" t="str">
        <f>"KCTD7"</f>
        <v>KCTD7</v>
      </c>
      <c r="B8140" t="s">
        <v>2</v>
      </c>
    </row>
    <row r="8141" spans="1:2" x14ac:dyDescent="0.2">
      <c r="A8141" t="str">
        <f>"KCTD8"</f>
        <v>KCTD8</v>
      </c>
      <c r="B8141" t="s">
        <v>2</v>
      </c>
    </row>
    <row r="8142" spans="1:2" x14ac:dyDescent="0.2">
      <c r="A8142" t="str">
        <f>"KCTD9"</f>
        <v>KCTD9</v>
      </c>
      <c r="B8142" t="s">
        <v>2</v>
      </c>
    </row>
    <row r="8143" spans="1:2" x14ac:dyDescent="0.2">
      <c r="A8143" t="str">
        <f>"KDELC1"</f>
        <v>KDELC1</v>
      </c>
      <c r="B8143" t="s">
        <v>6</v>
      </c>
    </row>
    <row r="8144" spans="1:2" x14ac:dyDescent="0.2">
      <c r="A8144" t="str">
        <f>"KDELC2"</f>
        <v>KDELC2</v>
      </c>
      <c r="B8144" t="s">
        <v>2</v>
      </c>
    </row>
    <row r="8145" spans="1:2" x14ac:dyDescent="0.2">
      <c r="A8145" t="str">
        <f>"KDELR1"</f>
        <v>KDELR1</v>
      </c>
      <c r="B8145" t="s">
        <v>2</v>
      </c>
    </row>
    <row r="8146" spans="1:2" x14ac:dyDescent="0.2">
      <c r="A8146" t="str">
        <f>"KDELR2"</f>
        <v>KDELR2</v>
      </c>
      <c r="B8146" t="s">
        <v>3</v>
      </c>
    </row>
    <row r="8147" spans="1:2" x14ac:dyDescent="0.2">
      <c r="A8147" t="str">
        <f>"KDELR3"</f>
        <v>KDELR3</v>
      </c>
      <c r="B8147" t="s">
        <v>2</v>
      </c>
    </row>
    <row r="8148" spans="1:2" x14ac:dyDescent="0.2">
      <c r="A8148" t="str">
        <f>"KDM1A"</f>
        <v>KDM1A</v>
      </c>
      <c r="B8148" t="s">
        <v>3</v>
      </c>
    </row>
    <row r="8149" spans="1:2" x14ac:dyDescent="0.2">
      <c r="A8149" t="str">
        <f>"KDM1B"</f>
        <v>KDM1B</v>
      </c>
      <c r="B8149" t="s">
        <v>2</v>
      </c>
    </row>
    <row r="8150" spans="1:2" x14ac:dyDescent="0.2">
      <c r="A8150" t="str">
        <f>"KDM2A"</f>
        <v>KDM2A</v>
      </c>
      <c r="B8150" t="s">
        <v>2</v>
      </c>
    </row>
    <row r="8151" spans="1:2" x14ac:dyDescent="0.2">
      <c r="A8151" t="str">
        <f>"KDM2B"</f>
        <v>KDM2B</v>
      </c>
      <c r="B8151" t="s">
        <v>2</v>
      </c>
    </row>
    <row r="8152" spans="1:2" x14ac:dyDescent="0.2">
      <c r="A8152" t="str">
        <f>"KDM3A"</f>
        <v>KDM3A</v>
      </c>
      <c r="B8152" t="s">
        <v>8</v>
      </c>
    </row>
    <row r="8153" spans="1:2" x14ac:dyDescent="0.2">
      <c r="A8153" t="str">
        <f>"KDM3B"</f>
        <v>KDM3B</v>
      </c>
      <c r="B8153" t="s">
        <v>8</v>
      </c>
    </row>
    <row r="8154" spans="1:2" x14ac:dyDescent="0.2">
      <c r="A8154" t="str">
        <f>"KDM4A"</f>
        <v>KDM4A</v>
      </c>
      <c r="B8154" t="s">
        <v>8</v>
      </c>
    </row>
    <row r="8155" spans="1:2" x14ac:dyDescent="0.2">
      <c r="A8155" t="str">
        <f>"KDM4B"</f>
        <v>KDM4B</v>
      </c>
      <c r="B8155" t="s">
        <v>3</v>
      </c>
    </row>
    <row r="8156" spans="1:2" x14ac:dyDescent="0.2">
      <c r="A8156" t="str">
        <f>"KDM4C"</f>
        <v>KDM4C</v>
      </c>
      <c r="B8156" t="s">
        <v>2</v>
      </c>
    </row>
    <row r="8157" spans="1:2" x14ac:dyDescent="0.2">
      <c r="A8157" t="str">
        <f>"KDM4D"</f>
        <v>KDM4D</v>
      </c>
      <c r="B8157" t="s">
        <v>8</v>
      </c>
    </row>
    <row r="8158" spans="1:2" x14ac:dyDescent="0.2">
      <c r="A8158" t="str">
        <f>"KDM4E"</f>
        <v>KDM4E</v>
      </c>
      <c r="B8158" t="s">
        <v>6</v>
      </c>
    </row>
    <row r="8159" spans="1:2" x14ac:dyDescent="0.2">
      <c r="A8159" t="str">
        <f>"KDM5A"</f>
        <v>KDM5A</v>
      </c>
      <c r="B8159" t="s">
        <v>8</v>
      </c>
    </row>
    <row r="8160" spans="1:2" x14ac:dyDescent="0.2">
      <c r="A8160" t="str">
        <f>"KDM5B"</f>
        <v>KDM5B</v>
      </c>
      <c r="B8160" t="s">
        <v>3</v>
      </c>
    </row>
    <row r="8161" spans="1:2" x14ac:dyDescent="0.2">
      <c r="A8161" t="str">
        <f>"KDM5C"</f>
        <v>KDM5C</v>
      </c>
      <c r="B8161" t="s">
        <v>8</v>
      </c>
    </row>
    <row r="8162" spans="1:2" x14ac:dyDescent="0.2">
      <c r="A8162" t="str">
        <f>"KDM5D"</f>
        <v>KDM5D</v>
      </c>
      <c r="B8162" t="s">
        <v>7</v>
      </c>
    </row>
    <row r="8163" spans="1:2" x14ac:dyDescent="0.2">
      <c r="A8163" t="str">
        <f>"KDM6A"</f>
        <v>KDM6A</v>
      </c>
      <c r="B8163" t="s">
        <v>2</v>
      </c>
    </row>
    <row r="8164" spans="1:2" x14ac:dyDescent="0.2">
      <c r="A8164" t="str">
        <f>"KDM6B"</f>
        <v>KDM6B</v>
      </c>
      <c r="B8164" t="s">
        <v>3</v>
      </c>
    </row>
    <row r="8165" spans="1:2" x14ac:dyDescent="0.2">
      <c r="A8165" t="str">
        <f>"KDM8"</f>
        <v>KDM8</v>
      </c>
      <c r="B8165" t="s">
        <v>8</v>
      </c>
    </row>
    <row r="8166" spans="1:2" x14ac:dyDescent="0.2">
      <c r="A8166" t="str">
        <f>"KDR"</f>
        <v>KDR</v>
      </c>
      <c r="B8166" t="s">
        <v>7</v>
      </c>
    </row>
    <row r="8167" spans="1:2" x14ac:dyDescent="0.2">
      <c r="A8167" t="str">
        <f>"KDSR"</f>
        <v>KDSR</v>
      </c>
      <c r="B8167" t="s">
        <v>3</v>
      </c>
    </row>
    <row r="8168" spans="1:2" x14ac:dyDescent="0.2">
      <c r="A8168" t="str">
        <f>"KEAP1"</f>
        <v>KEAP1</v>
      </c>
      <c r="B8168" t="s">
        <v>3</v>
      </c>
    </row>
    <row r="8169" spans="1:2" x14ac:dyDescent="0.2">
      <c r="A8169" t="str">
        <f>"KEL"</f>
        <v>KEL</v>
      </c>
      <c r="B8169" t="s">
        <v>2</v>
      </c>
    </row>
    <row r="8170" spans="1:2" x14ac:dyDescent="0.2">
      <c r="A8170" t="str">
        <f>"KERA"</f>
        <v>KERA</v>
      </c>
      <c r="B8170" t="s">
        <v>4</v>
      </c>
    </row>
    <row r="8171" spans="1:2" x14ac:dyDescent="0.2">
      <c r="A8171" t="str">
        <f>"KHDC1"</f>
        <v>KHDC1</v>
      </c>
      <c r="B8171" t="s">
        <v>5</v>
      </c>
    </row>
    <row r="8172" spans="1:2" x14ac:dyDescent="0.2">
      <c r="A8172" t="str">
        <f>"KHDC1L"</f>
        <v>KHDC1L</v>
      </c>
      <c r="B8172" t="s">
        <v>4</v>
      </c>
    </row>
    <row r="8173" spans="1:2" x14ac:dyDescent="0.2">
      <c r="A8173" t="str">
        <f>"KHDC3L"</f>
        <v>KHDC3L</v>
      </c>
      <c r="B8173" t="s">
        <v>4</v>
      </c>
    </row>
    <row r="8174" spans="1:2" x14ac:dyDescent="0.2">
      <c r="A8174" t="str">
        <f>"KHDRBS1"</f>
        <v>KHDRBS1</v>
      </c>
      <c r="B8174" t="s">
        <v>3</v>
      </c>
    </row>
    <row r="8175" spans="1:2" x14ac:dyDescent="0.2">
      <c r="A8175" t="str">
        <f>"KHDRBS2"</f>
        <v>KHDRBS2</v>
      </c>
      <c r="B8175" t="s">
        <v>8</v>
      </c>
    </row>
    <row r="8176" spans="1:2" x14ac:dyDescent="0.2">
      <c r="A8176" t="str">
        <f>"KHDRBS3"</f>
        <v>KHDRBS3</v>
      </c>
      <c r="B8176" t="s">
        <v>8</v>
      </c>
    </row>
    <row r="8177" spans="1:2" x14ac:dyDescent="0.2">
      <c r="A8177" t="str">
        <f>"KHK"</f>
        <v>KHK</v>
      </c>
      <c r="B8177" t="s">
        <v>7</v>
      </c>
    </row>
    <row r="8178" spans="1:2" x14ac:dyDescent="0.2">
      <c r="A8178" t="str">
        <f>"KHNYN"</f>
        <v>KHNYN</v>
      </c>
      <c r="B8178" t="s">
        <v>4</v>
      </c>
    </row>
    <row r="8179" spans="1:2" x14ac:dyDescent="0.2">
      <c r="A8179" t="str">
        <f>"KHSRP"</f>
        <v>KHSRP</v>
      </c>
      <c r="B8179" t="s">
        <v>2</v>
      </c>
    </row>
    <row r="8180" spans="1:2" x14ac:dyDescent="0.2">
      <c r="A8180" t="str">
        <f>"KIAA0020"</f>
        <v>KIAA0020</v>
      </c>
      <c r="B8180" t="s">
        <v>6</v>
      </c>
    </row>
    <row r="8181" spans="1:2" x14ac:dyDescent="0.2">
      <c r="A8181" t="str">
        <f>"KIAA0040"</f>
        <v>KIAA0040</v>
      </c>
      <c r="B8181" t="s">
        <v>4</v>
      </c>
    </row>
    <row r="8182" spans="1:2" x14ac:dyDescent="0.2">
      <c r="A8182" t="str">
        <f>"KIAA0100"</f>
        <v>KIAA0100</v>
      </c>
      <c r="B8182" t="s">
        <v>4</v>
      </c>
    </row>
    <row r="8183" spans="1:2" x14ac:dyDescent="0.2">
      <c r="A8183" t="str">
        <f>"KIAA0101"</f>
        <v>KIAA0101</v>
      </c>
      <c r="B8183" t="s">
        <v>2</v>
      </c>
    </row>
    <row r="8184" spans="1:2" x14ac:dyDescent="0.2">
      <c r="A8184" t="str">
        <f>"KIAA0141"</f>
        <v>KIAA0141</v>
      </c>
      <c r="B8184" t="s">
        <v>2</v>
      </c>
    </row>
    <row r="8185" spans="1:2" x14ac:dyDescent="0.2">
      <c r="A8185" t="str">
        <f>"KIAA0195"</f>
        <v>KIAA0195</v>
      </c>
      <c r="B8185" t="s">
        <v>5</v>
      </c>
    </row>
    <row r="8186" spans="1:2" x14ac:dyDescent="0.2">
      <c r="A8186" t="str">
        <f>"KIAA0196"</f>
        <v>KIAA0196</v>
      </c>
      <c r="B8186" t="s">
        <v>6</v>
      </c>
    </row>
    <row r="8187" spans="1:2" x14ac:dyDescent="0.2">
      <c r="A8187" t="str">
        <f>"KIAA0226"</f>
        <v>KIAA0226</v>
      </c>
      <c r="B8187" t="s">
        <v>6</v>
      </c>
    </row>
    <row r="8188" spans="1:2" x14ac:dyDescent="0.2">
      <c r="A8188" t="str">
        <f>"KIAA0226L"</f>
        <v>KIAA0226L</v>
      </c>
      <c r="B8188" t="s">
        <v>3</v>
      </c>
    </row>
    <row r="8189" spans="1:2" x14ac:dyDescent="0.2">
      <c r="A8189" t="str">
        <f>"KIAA0232"</f>
        <v>KIAA0232</v>
      </c>
      <c r="B8189" t="s">
        <v>4</v>
      </c>
    </row>
    <row r="8190" spans="1:2" x14ac:dyDescent="0.2">
      <c r="A8190" t="str">
        <f>"KIAA0247"</f>
        <v>KIAA0247</v>
      </c>
      <c r="B8190" t="s">
        <v>5</v>
      </c>
    </row>
    <row r="8191" spans="1:2" x14ac:dyDescent="0.2">
      <c r="A8191" t="str">
        <f>"KIAA0319"</f>
        <v>KIAA0319</v>
      </c>
      <c r="B8191" t="s">
        <v>5</v>
      </c>
    </row>
    <row r="8192" spans="1:2" x14ac:dyDescent="0.2">
      <c r="A8192" t="str">
        <f>"KIAA0319L"</f>
        <v>KIAA0319L</v>
      </c>
      <c r="B8192" t="s">
        <v>6</v>
      </c>
    </row>
    <row r="8193" spans="1:2" x14ac:dyDescent="0.2">
      <c r="A8193" t="str">
        <f>"KIAA0355"</f>
        <v>KIAA0355</v>
      </c>
      <c r="B8193" t="s">
        <v>4</v>
      </c>
    </row>
    <row r="8194" spans="1:2" x14ac:dyDescent="0.2">
      <c r="A8194" t="str">
        <f>"KIAA0368"</f>
        <v>KIAA0368</v>
      </c>
      <c r="B8194" t="s">
        <v>3</v>
      </c>
    </row>
    <row r="8195" spans="1:2" x14ac:dyDescent="0.2">
      <c r="A8195" t="str">
        <f>"KIAA0391"</f>
        <v>KIAA0391</v>
      </c>
      <c r="B8195" t="s">
        <v>6</v>
      </c>
    </row>
    <row r="8196" spans="1:2" x14ac:dyDescent="0.2">
      <c r="A8196" t="str">
        <f>"KIAA0408"</f>
        <v>KIAA0408</v>
      </c>
      <c r="B8196" t="s">
        <v>4</v>
      </c>
    </row>
    <row r="8197" spans="1:2" x14ac:dyDescent="0.2">
      <c r="A8197" t="str">
        <f>"KIAA0430"</f>
        <v>KIAA0430</v>
      </c>
      <c r="B8197" t="s">
        <v>6</v>
      </c>
    </row>
    <row r="8198" spans="1:2" x14ac:dyDescent="0.2">
      <c r="A8198" t="str">
        <f>"KIAA0513"</f>
        <v>KIAA0513</v>
      </c>
      <c r="B8198" t="s">
        <v>3</v>
      </c>
    </row>
    <row r="8199" spans="1:2" x14ac:dyDescent="0.2">
      <c r="A8199" t="str">
        <f>"KIAA0556"</f>
        <v>KIAA0556</v>
      </c>
      <c r="B8199" t="s">
        <v>3</v>
      </c>
    </row>
    <row r="8200" spans="1:2" x14ac:dyDescent="0.2">
      <c r="A8200" t="str">
        <f>"KIAA0586"</f>
        <v>KIAA0586</v>
      </c>
      <c r="B8200" t="s">
        <v>3</v>
      </c>
    </row>
    <row r="8201" spans="1:2" x14ac:dyDescent="0.2">
      <c r="A8201" t="str">
        <f>"KIAA0753"</f>
        <v>KIAA0753</v>
      </c>
      <c r="B8201" t="s">
        <v>4</v>
      </c>
    </row>
    <row r="8202" spans="1:2" x14ac:dyDescent="0.2">
      <c r="A8202" t="str">
        <f>"KIAA0754"</f>
        <v>KIAA0754</v>
      </c>
      <c r="B8202" t="s">
        <v>4</v>
      </c>
    </row>
    <row r="8203" spans="1:2" x14ac:dyDescent="0.2">
      <c r="A8203" t="str">
        <f>"KIAA0825"</f>
        <v>KIAA0825</v>
      </c>
      <c r="B8203" t="s">
        <v>4</v>
      </c>
    </row>
    <row r="8204" spans="1:2" x14ac:dyDescent="0.2">
      <c r="A8204" t="str">
        <f>"KIAA0895"</f>
        <v>KIAA0895</v>
      </c>
      <c r="B8204" t="s">
        <v>4</v>
      </c>
    </row>
    <row r="8205" spans="1:2" x14ac:dyDescent="0.2">
      <c r="A8205" t="str">
        <f>"KIAA0895L"</f>
        <v>KIAA0895L</v>
      </c>
      <c r="B8205" t="s">
        <v>4</v>
      </c>
    </row>
    <row r="8206" spans="1:2" x14ac:dyDescent="0.2">
      <c r="A8206" t="str">
        <f>"KIAA0907"</f>
        <v>KIAA0907</v>
      </c>
      <c r="B8206" t="s">
        <v>8</v>
      </c>
    </row>
    <row r="8207" spans="1:2" x14ac:dyDescent="0.2">
      <c r="A8207" t="str">
        <f>"KIAA0922"</f>
        <v>KIAA0922</v>
      </c>
      <c r="B8207" t="s">
        <v>8</v>
      </c>
    </row>
    <row r="8208" spans="1:2" x14ac:dyDescent="0.2">
      <c r="A8208" t="str">
        <f>"KIAA0930"</f>
        <v>KIAA0930</v>
      </c>
      <c r="B8208" t="s">
        <v>3</v>
      </c>
    </row>
    <row r="8209" spans="1:2" x14ac:dyDescent="0.2">
      <c r="A8209" t="str">
        <f>"KIAA0947"</f>
        <v>KIAA0947</v>
      </c>
      <c r="B8209" t="s">
        <v>6</v>
      </c>
    </row>
    <row r="8210" spans="1:2" x14ac:dyDescent="0.2">
      <c r="A8210" t="str">
        <f>"KIAA1009"</f>
        <v>KIAA1009</v>
      </c>
      <c r="B8210" t="s">
        <v>3</v>
      </c>
    </row>
    <row r="8211" spans="1:2" x14ac:dyDescent="0.2">
      <c r="A8211" t="str">
        <f>"KIAA1024"</f>
        <v>KIAA1024</v>
      </c>
      <c r="B8211" t="s">
        <v>5</v>
      </c>
    </row>
    <row r="8212" spans="1:2" x14ac:dyDescent="0.2">
      <c r="A8212" t="str">
        <f>"KIAA1024L"</f>
        <v>KIAA1024L</v>
      </c>
      <c r="B8212" t="s">
        <v>5</v>
      </c>
    </row>
    <row r="8213" spans="1:2" x14ac:dyDescent="0.2">
      <c r="A8213" t="str">
        <f>"KIAA1033"</f>
        <v>KIAA1033</v>
      </c>
      <c r="B8213" t="s">
        <v>4</v>
      </c>
    </row>
    <row r="8214" spans="1:2" x14ac:dyDescent="0.2">
      <c r="A8214" t="str">
        <f>"KIAA1045"</f>
        <v>KIAA1045</v>
      </c>
      <c r="B8214" t="s">
        <v>4</v>
      </c>
    </row>
    <row r="8215" spans="1:2" x14ac:dyDescent="0.2">
      <c r="A8215" t="str">
        <f>"KIAA1107"</f>
        <v>KIAA1107</v>
      </c>
      <c r="B8215" t="s">
        <v>4</v>
      </c>
    </row>
    <row r="8216" spans="1:2" x14ac:dyDescent="0.2">
      <c r="A8216" t="str">
        <f>"KIAA1109"</f>
        <v>KIAA1109</v>
      </c>
      <c r="B8216" t="s">
        <v>2</v>
      </c>
    </row>
    <row r="8217" spans="1:2" x14ac:dyDescent="0.2">
      <c r="A8217" t="str">
        <f>"KIAA1143"</f>
        <v>KIAA1143</v>
      </c>
      <c r="B8217" t="s">
        <v>4</v>
      </c>
    </row>
    <row r="8218" spans="1:2" x14ac:dyDescent="0.2">
      <c r="A8218" t="str">
        <f>"KIAA1147"</f>
        <v>KIAA1147</v>
      </c>
      <c r="B8218" t="s">
        <v>4</v>
      </c>
    </row>
    <row r="8219" spans="1:2" x14ac:dyDescent="0.2">
      <c r="A8219" t="str">
        <f>"KIAA1161"</f>
        <v>KIAA1161</v>
      </c>
      <c r="B8219" t="s">
        <v>2</v>
      </c>
    </row>
    <row r="8220" spans="1:2" x14ac:dyDescent="0.2">
      <c r="A8220" t="str">
        <f>"KIAA1191"</f>
        <v>KIAA1191</v>
      </c>
      <c r="B8220" t="s">
        <v>4</v>
      </c>
    </row>
    <row r="8221" spans="1:2" x14ac:dyDescent="0.2">
      <c r="A8221" t="str">
        <f>"KIAA1199"</f>
        <v>KIAA1199</v>
      </c>
      <c r="B8221" t="s">
        <v>4</v>
      </c>
    </row>
    <row r="8222" spans="1:2" x14ac:dyDescent="0.2">
      <c r="A8222" t="str">
        <f>"KIAA1210"</f>
        <v>KIAA1210</v>
      </c>
      <c r="B8222" t="s">
        <v>3</v>
      </c>
    </row>
    <row r="8223" spans="1:2" x14ac:dyDescent="0.2">
      <c r="A8223" t="str">
        <f>"KIAA1211"</f>
        <v>KIAA1211</v>
      </c>
      <c r="B8223" t="s">
        <v>4</v>
      </c>
    </row>
    <row r="8224" spans="1:2" x14ac:dyDescent="0.2">
      <c r="A8224" t="str">
        <f>"KIAA1211L"</f>
        <v>KIAA1211L</v>
      </c>
      <c r="B8224" t="s">
        <v>4</v>
      </c>
    </row>
    <row r="8225" spans="1:2" x14ac:dyDescent="0.2">
      <c r="A8225" t="str">
        <f>"KIAA1217"</f>
        <v>KIAA1217</v>
      </c>
      <c r="B8225" t="s">
        <v>4</v>
      </c>
    </row>
    <row r="8226" spans="1:2" x14ac:dyDescent="0.2">
      <c r="A8226" t="str">
        <f>"KIAA1239"</f>
        <v>KIAA1239</v>
      </c>
      <c r="B8226" t="s">
        <v>4</v>
      </c>
    </row>
    <row r="8227" spans="1:2" x14ac:dyDescent="0.2">
      <c r="A8227" t="str">
        <f>"KIAA1244"</f>
        <v>KIAA1244</v>
      </c>
      <c r="B8227" t="s">
        <v>6</v>
      </c>
    </row>
    <row r="8228" spans="1:2" x14ac:dyDescent="0.2">
      <c r="A8228" t="str">
        <f>"KIAA1257"</f>
        <v>KIAA1257</v>
      </c>
      <c r="B8228" t="s">
        <v>4</v>
      </c>
    </row>
    <row r="8229" spans="1:2" x14ac:dyDescent="0.2">
      <c r="A8229" t="str">
        <f>"KIAA1279"</f>
        <v>KIAA1279</v>
      </c>
      <c r="B8229" t="s">
        <v>2</v>
      </c>
    </row>
    <row r="8230" spans="1:2" x14ac:dyDescent="0.2">
      <c r="A8230" t="str">
        <f>"KIAA1324"</f>
        <v>KIAA1324</v>
      </c>
      <c r="B8230" t="s">
        <v>5</v>
      </c>
    </row>
    <row r="8231" spans="1:2" x14ac:dyDescent="0.2">
      <c r="A8231" t="str">
        <f>"KIAA1324L"</f>
        <v>KIAA1324L</v>
      </c>
      <c r="B8231" t="s">
        <v>5</v>
      </c>
    </row>
    <row r="8232" spans="1:2" x14ac:dyDescent="0.2">
      <c r="A8232" t="str">
        <f>"KIAA1328"</f>
        <v>KIAA1328</v>
      </c>
      <c r="B8232" t="s">
        <v>4</v>
      </c>
    </row>
    <row r="8233" spans="1:2" x14ac:dyDescent="0.2">
      <c r="A8233" t="str">
        <f>"KIAA1377"</f>
        <v>KIAA1377</v>
      </c>
      <c r="B8233" t="s">
        <v>4</v>
      </c>
    </row>
    <row r="8234" spans="1:2" x14ac:dyDescent="0.2">
      <c r="A8234" t="str">
        <f>"KIAA1407"</f>
        <v>KIAA1407</v>
      </c>
      <c r="B8234" t="s">
        <v>6</v>
      </c>
    </row>
    <row r="8235" spans="1:2" x14ac:dyDescent="0.2">
      <c r="A8235" t="str">
        <f>"KIAA1429"</f>
        <v>KIAA1429</v>
      </c>
      <c r="B8235" t="s">
        <v>8</v>
      </c>
    </row>
    <row r="8236" spans="1:2" x14ac:dyDescent="0.2">
      <c r="A8236" t="str">
        <f>"KIAA1430"</f>
        <v>KIAA1430</v>
      </c>
      <c r="B8236" t="s">
        <v>4</v>
      </c>
    </row>
    <row r="8237" spans="1:2" x14ac:dyDescent="0.2">
      <c r="A8237" t="str">
        <f>"KIAA1432"</f>
        <v>KIAA1432</v>
      </c>
      <c r="B8237" t="s">
        <v>6</v>
      </c>
    </row>
    <row r="8238" spans="1:2" x14ac:dyDescent="0.2">
      <c r="A8238" t="str">
        <f>"KIAA1456"</f>
        <v>KIAA1456</v>
      </c>
      <c r="B8238" t="s">
        <v>4</v>
      </c>
    </row>
    <row r="8239" spans="1:2" x14ac:dyDescent="0.2">
      <c r="A8239" t="str">
        <f>"KIAA1462"</f>
        <v>KIAA1462</v>
      </c>
      <c r="B8239" t="s">
        <v>4</v>
      </c>
    </row>
    <row r="8240" spans="1:2" x14ac:dyDescent="0.2">
      <c r="A8240" t="str">
        <f>"KIAA1467"</f>
        <v>KIAA1467</v>
      </c>
      <c r="B8240" t="s">
        <v>5</v>
      </c>
    </row>
    <row r="8241" spans="1:2" x14ac:dyDescent="0.2">
      <c r="A8241" t="str">
        <f>"KIAA1468"</f>
        <v>KIAA1468</v>
      </c>
      <c r="B8241" t="s">
        <v>4</v>
      </c>
    </row>
    <row r="8242" spans="1:2" x14ac:dyDescent="0.2">
      <c r="A8242" t="str">
        <f>"KIAA1522"</f>
        <v>KIAA1522</v>
      </c>
      <c r="B8242" t="s">
        <v>4</v>
      </c>
    </row>
    <row r="8243" spans="1:2" x14ac:dyDescent="0.2">
      <c r="A8243" t="str">
        <f>"KIAA1524"</f>
        <v>KIAA1524</v>
      </c>
      <c r="B8243" t="s">
        <v>5</v>
      </c>
    </row>
    <row r="8244" spans="1:2" x14ac:dyDescent="0.2">
      <c r="A8244" t="str">
        <f>"KIAA1549"</f>
        <v>KIAA1549</v>
      </c>
      <c r="B8244" t="s">
        <v>8</v>
      </c>
    </row>
    <row r="8245" spans="1:2" x14ac:dyDescent="0.2">
      <c r="A8245" t="str">
        <f>"KIAA1549L"</f>
        <v>KIAA1549L</v>
      </c>
      <c r="B8245" t="s">
        <v>5</v>
      </c>
    </row>
    <row r="8246" spans="1:2" x14ac:dyDescent="0.2">
      <c r="A8246" t="str">
        <f>"KIAA1551"</f>
        <v>KIAA1551</v>
      </c>
      <c r="B8246" t="s">
        <v>4</v>
      </c>
    </row>
    <row r="8247" spans="1:2" x14ac:dyDescent="0.2">
      <c r="A8247" t="str">
        <f>"KIAA1586"</f>
        <v>KIAA1586</v>
      </c>
      <c r="B8247" t="s">
        <v>4</v>
      </c>
    </row>
    <row r="8248" spans="1:2" x14ac:dyDescent="0.2">
      <c r="A8248" t="str">
        <f>"KIAA1598"</f>
        <v>KIAA1598</v>
      </c>
      <c r="B8248" t="s">
        <v>3</v>
      </c>
    </row>
    <row r="8249" spans="1:2" x14ac:dyDescent="0.2">
      <c r="A8249" t="str">
        <f>"KIAA1614"</f>
        <v>KIAA1614</v>
      </c>
      <c r="B8249" t="s">
        <v>4</v>
      </c>
    </row>
    <row r="8250" spans="1:2" x14ac:dyDescent="0.2">
      <c r="A8250" t="str">
        <f>"KIAA1644"</f>
        <v>KIAA1644</v>
      </c>
      <c r="B8250" t="s">
        <v>5</v>
      </c>
    </row>
    <row r="8251" spans="1:2" x14ac:dyDescent="0.2">
      <c r="A8251" t="str">
        <f>"KIAA1671"</f>
        <v>KIAA1671</v>
      </c>
      <c r="B8251" t="s">
        <v>4</v>
      </c>
    </row>
    <row r="8252" spans="1:2" x14ac:dyDescent="0.2">
      <c r="A8252" t="str">
        <f>"KIAA1683"</f>
        <v>KIAA1683</v>
      </c>
      <c r="B8252" t="s">
        <v>6</v>
      </c>
    </row>
    <row r="8253" spans="1:2" x14ac:dyDescent="0.2">
      <c r="A8253" t="str">
        <f>"KIAA1715"</f>
        <v>KIAA1715</v>
      </c>
      <c r="B8253" t="s">
        <v>5</v>
      </c>
    </row>
    <row r="8254" spans="1:2" x14ac:dyDescent="0.2">
      <c r="A8254" t="str">
        <f>"KIAA1731"</f>
        <v>KIAA1731</v>
      </c>
      <c r="B8254" t="s">
        <v>4</v>
      </c>
    </row>
    <row r="8255" spans="1:2" x14ac:dyDescent="0.2">
      <c r="A8255" t="str">
        <f>"KIAA1737"</f>
        <v>KIAA1737</v>
      </c>
      <c r="B8255" t="s">
        <v>3</v>
      </c>
    </row>
    <row r="8256" spans="1:2" x14ac:dyDescent="0.2">
      <c r="A8256" t="str">
        <f>"KIAA1755"</f>
        <v>KIAA1755</v>
      </c>
      <c r="B8256" t="s">
        <v>4</v>
      </c>
    </row>
    <row r="8257" spans="1:2" x14ac:dyDescent="0.2">
      <c r="A8257" t="str">
        <f>"KIAA1804"</f>
        <v>KIAA1804</v>
      </c>
      <c r="B8257" t="s">
        <v>7</v>
      </c>
    </row>
    <row r="8258" spans="1:2" x14ac:dyDescent="0.2">
      <c r="A8258" t="str">
        <f>"KIAA1841"</f>
        <v>KIAA1841</v>
      </c>
      <c r="B8258" t="s">
        <v>4</v>
      </c>
    </row>
    <row r="8259" spans="1:2" x14ac:dyDescent="0.2">
      <c r="A8259" t="str">
        <f>"KIAA1919"</f>
        <v>KIAA1919</v>
      </c>
      <c r="B8259" t="s">
        <v>5</v>
      </c>
    </row>
    <row r="8260" spans="1:2" x14ac:dyDescent="0.2">
      <c r="A8260" t="str">
        <f>"KIAA1958"</f>
        <v>KIAA1958</v>
      </c>
      <c r="B8260" t="s">
        <v>4</v>
      </c>
    </row>
    <row r="8261" spans="1:2" x14ac:dyDescent="0.2">
      <c r="A8261" t="str">
        <f>"KIAA1984"</f>
        <v>KIAA1984</v>
      </c>
      <c r="B8261" t="s">
        <v>6</v>
      </c>
    </row>
    <row r="8262" spans="1:2" x14ac:dyDescent="0.2">
      <c r="A8262" t="str">
        <f>"KIAA2013"</f>
        <v>KIAA2013</v>
      </c>
      <c r="B8262" t="s">
        <v>6</v>
      </c>
    </row>
    <row r="8263" spans="1:2" x14ac:dyDescent="0.2">
      <c r="A8263" t="str">
        <f>"KIAA2018"</f>
        <v>KIAA2018</v>
      </c>
      <c r="B8263" t="s">
        <v>8</v>
      </c>
    </row>
    <row r="8264" spans="1:2" x14ac:dyDescent="0.2">
      <c r="A8264" t="str">
        <f>"KIAA2022"</f>
        <v>KIAA2022</v>
      </c>
      <c r="B8264" t="s">
        <v>3</v>
      </c>
    </row>
    <row r="8265" spans="1:2" x14ac:dyDescent="0.2">
      <c r="A8265" t="str">
        <f>"KIAA2026"</f>
        <v>KIAA2026</v>
      </c>
      <c r="B8265" t="s">
        <v>4</v>
      </c>
    </row>
    <row r="8266" spans="1:2" x14ac:dyDescent="0.2">
      <c r="A8266" t="str">
        <f>"KIDINS220"</f>
        <v>KIDINS220</v>
      </c>
      <c r="B8266" t="s">
        <v>7</v>
      </c>
    </row>
    <row r="8267" spans="1:2" x14ac:dyDescent="0.2">
      <c r="A8267" t="str">
        <f>"KIF11"</f>
        <v>KIF11</v>
      </c>
      <c r="B8267" t="s">
        <v>3</v>
      </c>
    </row>
    <row r="8268" spans="1:2" x14ac:dyDescent="0.2">
      <c r="A8268" t="str">
        <f>"KIF12"</f>
        <v>KIF12</v>
      </c>
      <c r="B8268" t="s">
        <v>6</v>
      </c>
    </row>
    <row r="8269" spans="1:2" x14ac:dyDescent="0.2">
      <c r="A8269" t="str">
        <f>"KIF13A"</f>
        <v>KIF13A</v>
      </c>
      <c r="B8269" t="s">
        <v>8</v>
      </c>
    </row>
    <row r="8270" spans="1:2" x14ac:dyDescent="0.2">
      <c r="A8270" t="str">
        <f>"KIF13B"</f>
        <v>KIF13B</v>
      </c>
      <c r="B8270" t="s">
        <v>6</v>
      </c>
    </row>
    <row r="8271" spans="1:2" x14ac:dyDescent="0.2">
      <c r="A8271" t="str">
        <f>"KIF14"</f>
        <v>KIF14</v>
      </c>
      <c r="B8271" t="s">
        <v>3</v>
      </c>
    </row>
    <row r="8272" spans="1:2" x14ac:dyDescent="0.2">
      <c r="A8272" t="str">
        <f>"KIF15"</f>
        <v>KIF15</v>
      </c>
      <c r="B8272" t="s">
        <v>3</v>
      </c>
    </row>
    <row r="8273" spans="1:2" x14ac:dyDescent="0.2">
      <c r="A8273" t="str">
        <f>"KIF16B"</f>
        <v>KIF16B</v>
      </c>
      <c r="B8273" t="s">
        <v>6</v>
      </c>
    </row>
    <row r="8274" spans="1:2" x14ac:dyDescent="0.2">
      <c r="A8274" t="str">
        <f>"KIF17"</f>
        <v>KIF17</v>
      </c>
      <c r="B8274" t="s">
        <v>6</v>
      </c>
    </row>
    <row r="8275" spans="1:2" x14ac:dyDescent="0.2">
      <c r="A8275" t="str">
        <f>"KIF18A"</f>
        <v>KIF18A</v>
      </c>
      <c r="B8275" t="s">
        <v>3</v>
      </c>
    </row>
    <row r="8276" spans="1:2" x14ac:dyDescent="0.2">
      <c r="A8276" t="str">
        <f>"KIF18B"</f>
        <v>KIF18B</v>
      </c>
      <c r="B8276" t="s">
        <v>6</v>
      </c>
    </row>
    <row r="8277" spans="1:2" x14ac:dyDescent="0.2">
      <c r="A8277" t="str">
        <f>"KIF19"</f>
        <v>KIF19</v>
      </c>
      <c r="B8277" t="s">
        <v>6</v>
      </c>
    </row>
    <row r="8278" spans="1:2" x14ac:dyDescent="0.2">
      <c r="A8278" t="str">
        <f>"KIF1A"</f>
        <v>KIF1A</v>
      </c>
      <c r="B8278" t="s">
        <v>7</v>
      </c>
    </row>
    <row r="8279" spans="1:2" x14ac:dyDescent="0.2">
      <c r="A8279" t="str">
        <f>"KIF1B"</f>
        <v>KIF1B</v>
      </c>
      <c r="B8279" t="s">
        <v>2</v>
      </c>
    </row>
    <row r="8280" spans="1:2" x14ac:dyDescent="0.2">
      <c r="A8280" t="str">
        <f>"KIF1C"</f>
        <v>KIF1C</v>
      </c>
      <c r="B8280" t="s">
        <v>2</v>
      </c>
    </row>
    <row r="8281" spans="1:2" x14ac:dyDescent="0.2">
      <c r="A8281" t="str">
        <f>"KIF20A"</f>
        <v>KIF20A</v>
      </c>
      <c r="B8281" t="s">
        <v>2</v>
      </c>
    </row>
    <row r="8282" spans="1:2" x14ac:dyDescent="0.2">
      <c r="A8282" t="str">
        <f>"KIF20B"</f>
        <v>KIF20B</v>
      </c>
      <c r="B8282" t="s">
        <v>3</v>
      </c>
    </row>
    <row r="8283" spans="1:2" x14ac:dyDescent="0.2">
      <c r="A8283" t="str">
        <f>"KIF21A"</f>
        <v>KIF21A</v>
      </c>
      <c r="B8283" t="s">
        <v>6</v>
      </c>
    </row>
    <row r="8284" spans="1:2" x14ac:dyDescent="0.2">
      <c r="A8284" t="str">
        <f>"KIF21B"</f>
        <v>KIF21B</v>
      </c>
      <c r="B8284" t="s">
        <v>6</v>
      </c>
    </row>
    <row r="8285" spans="1:2" x14ac:dyDescent="0.2">
      <c r="A8285" t="str">
        <f>"KIF22"</f>
        <v>KIF22</v>
      </c>
      <c r="B8285" t="s">
        <v>8</v>
      </c>
    </row>
    <row r="8286" spans="1:2" x14ac:dyDescent="0.2">
      <c r="A8286" t="str">
        <f>"KIF23"</f>
        <v>KIF23</v>
      </c>
      <c r="B8286" t="s">
        <v>3</v>
      </c>
    </row>
    <row r="8287" spans="1:2" x14ac:dyDescent="0.2">
      <c r="A8287" t="str">
        <f>"KIF24"</f>
        <v>KIF24</v>
      </c>
      <c r="B8287" t="s">
        <v>6</v>
      </c>
    </row>
    <row r="8288" spans="1:2" x14ac:dyDescent="0.2">
      <c r="A8288" t="str">
        <f>"KIF25"</f>
        <v>KIF25</v>
      </c>
      <c r="B8288" t="s">
        <v>6</v>
      </c>
    </row>
    <row r="8289" spans="1:2" x14ac:dyDescent="0.2">
      <c r="A8289" t="str">
        <f>"KIF26A"</f>
        <v>KIF26A</v>
      </c>
      <c r="B8289" t="s">
        <v>6</v>
      </c>
    </row>
    <row r="8290" spans="1:2" x14ac:dyDescent="0.2">
      <c r="A8290" t="str">
        <f>"KIF26B"</f>
        <v>KIF26B</v>
      </c>
      <c r="B8290" t="s">
        <v>6</v>
      </c>
    </row>
    <row r="8291" spans="1:2" x14ac:dyDescent="0.2">
      <c r="A8291" t="str">
        <f>"KIF27"</f>
        <v>KIF27</v>
      </c>
      <c r="B8291" t="s">
        <v>6</v>
      </c>
    </row>
    <row r="8292" spans="1:2" x14ac:dyDescent="0.2">
      <c r="A8292" t="str">
        <f>"KIF2A"</f>
        <v>KIF2A</v>
      </c>
      <c r="B8292" t="s">
        <v>3</v>
      </c>
    </row>
    <row r="8293" spans="1:2" x14ac:dyDescent="0.2">
      <c r="A8293" t="str">
        <f>"KIF2B"</f>
        <v>KIF2B</v>
      </c>
      <c r="B8293" t="s">
        <v>3</v>
      </c>
    </row>
    <row r="8294" spans="1:2" x14ac:dyDescent="0.2">
      <c r="A8294" t="str">
        <f>"KIF2C"</f>
        <v>KIF2C</v>
      </c>
      <c r="B8294" t="s">
        <v>3</v>
      </c>
    </row>
    <row r="8295" spans="1:2" x14ac:dyDescent="0.2">
      <c r="A8295" t="str">
        <f>"KIF3A"</f>
        <v>KIF3A</v>
      </c>
      <c r="B8295" t="s">
        <v>2</v>
      </c>
    </row>
    <row r="8296" spans="1:2" x14ac:dyDescent="0.2">
      <c r="A8296" t="str">
        <f>"KIF3B"</f>
        <v>KIF3B</v>
      </c>
      <c r="B8296" t="s">
        <v>7</v>
      </c>
    </row>
    <row r="8297" spans="1:2" x14ac:dyDescent="0.2">
      <c r="A8297" t="str">
        <f>"KIF3C"</f>
        <v>KIF3C</v>
      </c>
      <c r="B8297" t="s">
        <v>8</v>
      </c>
    </row>
    <row r="8298" spans="1:2" x14ac:dyDescent="0.2">
      <c r="A8298" t="str">
        <f>"KIF4A"</f>
        <v>KIF4A</v>
      </c>
      <c r="B8298" t="s">
        <v>2</v>
      </c>
    </row>
    <row r="8299" spans="1:2" x14ac:dyDescent="0.2">
      <c r="A8299" t="str">
        <f>"KIF4B"</f>
        <v>KIF4B</v>
      </c>
      <c r="B8299" t="s">
        <v>8</v>
      </c>
    </row>
    <row r="8300" spans="1:2" x14ac:dyDescent="0.2">
      <c r="A8300" t="str">
        <f>"KIF5A"</f>
        <v>KIF5A</v>
      </c>
      <c r="B8300" t="s">
        <v>6</v>
      </c>
    </row>
    <row r="8301" spans="1:2" x14ac:dyDescent="0.2">
      <c r="A8301" t="str">
        <f>"KIF5B"</f>
        <v>KIF5B</v>
      </c>
      <c r="B8301" t="s">
        <v>7</v>
      </c>
    </row>
    <row r="8302" spans="1:2" x14ac:dyDescent="0.2">
      <c r="A8302" t="str">
        <f>"KIF5C"</f>
        <v>KIF5C</v>
      </c>
      <c r="B8302" t="s">
        <v>2</v>
      </c>
    </row>
    <row r="8303" spans="1:2" x14ac:dyDescent="0.2">
      <c r="A8303" t="str">
        <f>"KIF6"</f>
        <v>KIF6</v>
      </c>
      <c r="B8303" t="s">
        <v>6</v>
      </c>
    </row>
    <row r="8304" spans="1:2" x14ac:dyDescent="0.2">
      <c r="A8304" t="str">
        <f>"KIF7"</f>
        <v>KIF7</v>
      </c>
      <c r="B8304" t="s">
        <v>2</v>
      </c>
    </row>
    <row r="8305" spans="1:2" x14ac:dyDescent="0.2">
      <c r="A8305" t="str">
        <f>"KIF9"</f>
        <v>KIF9</v>
      </c>
      <c r="B8305" t="s">
        <v>6</v>
      </c>
    </row>
    <row r="8306" spans="1:2" x14ac:dyDescent="0.2">
      <c r="A8306" t="str">
        <f>"KIFAP3"</f>
        <v>KIFAP3</v>
      </c>
      <c r="B8306" t="s">
        <v>2</v>
      </c>
    </row>
    <row r="8307" spans="1:2" x14ac:dyDescent="0.2">
      <c r="A8307" t="str">
        <f>"KIFC1"</f>
        <v>KIFC1</v>
      </c>
      <c r="B8307" t="s">
        <v>3</v>
      </c>
    </row>
    <row r="8308" spans="1:2" x14ac:dyDescent="0.2">
      <c r="A8308" t="str">
        <f>"KIFC2"</f>
        <v>KIFC2</v>
      </c>
      <c r="B8308" t="s">
        <v>6</v>
      </c>
    </row>
    <row r="8309" spans="1:2" x14ac:dyDescent="0.2">
      <c r="A8309" t="str">
        <f>"KIFC3"</f>
        <v>KIFC3</v>
      </c>
      <c r="B8309" t="s">
        <v>2</v>
      </c>
    </row>
    <row r="8310" spans="1:2" x14ac:dyDescent="0.2">
      <c r="A8310" t="str">
        <f>"KIN"</f>
        <v>KIN</v>
      </c>
      <c r="B8310" t="s">
        <v>3</v>
      </c>
    </row>
    <row r="8311" spans="1:2" x14ac:dyDescent="0.2">
      <c r="A8311" t="str">
        <f>"KIR2DL1"</f>
        <v>KIR2DL1</v>
      </c>
      <c r="B8311" t="s">
        <v>5</v>
      </c>
    </row>
    <row r="8312" spans="1:2" x14ac:dyDescent="0.2">
      <c r="A8312" t="str">
        <f>"KIR2DL3"</f>
        <v>KIR2DL3</v>
      </c>
      <c r="B8312" t="s">
        <v>5</v>
      </c>
    </row>
    <row r="8313" spans="1:2" x14ac:dyDescent="0.2">
      <c r="A8313" t="str">
        <f>"KIR2DL4"</f>
        <v>KIR2DL4</v>
      </c>
      <c r="B8313" t="s">
        <v>5</v>
      </c>
    </row>
    <row r="8314" spans="1:2" x14ac:dyDescent="0.2">
      <c r="A8314" t="str">
        <f>"KIR2DS4"</f>
        <v>KIR2DS4</v>
      </c>
      <c r="B8314" t="s">
        <v>5</v>
      </c>
    </row>
    <row r="8315" spans="1:2" x14ac:dyDescent="0.2">
      <c r="A8315" t="str">
        <f>"KIR3DL1"</f>
        <v>KIR3DL1</v>
      </c>
      <c r="B8315" t="s">
        <v>6</v>
      </c>
    </row>
    <row r="8316" spans="1:2" x14ac:dyDescent="0.2">
      <c r="A8316" t="str">
        <f>"KIR3DL2"</f>
        <v>KIR3DL2</v>
      </c>
      <c r="B8316" t="s">
        <v>4</v>
      </c>
    </row>
    <row r="8317" spans="1:2" x14ac:dyDescent="0.2">
      <c r="A8317" t="str">
        <f>"KIR3DL3"</f>
        <v>KIR3DL3</v>
      </c>
      <c r="B8317" t="s">
        <v>5</v>
      </c>
    </row>
    <row r="8318" spans="1:2" x14ac:dyDescent="0.2">
      <c r="A8318" t="str">
        <f>"KIRREL"</f>
        <v>KIRREL</v>
      </c>
      <c r="B8318" t="s">
        <v>5</v>
      </c>
    </row>
    <row r="8319" spans="1:2" x14ac:dyDescent="0.2">
      <c r="A8319" t="str">
        <f>"KIRREL2"</f>
        <v>KIRREL2</v>
      </c>
      <c r="B8319" t="s">
        <v>5</v>
      </c>
    </row>
    <row r="8320" spans="1:2" x14ac:dyDescent="0.2">
      <c r="A8320" t="str">
        <f>"KIRREL3"</f>
        <v>KIRREL3</v>
      </c>
      <c r="B8320" t="s">
        <v>5</v>
      </c>
    </row>
    <row r="8321" spans="1:2" x14ac:dyDescent="0.2">
      <c r="A8321" t="str">
        <f>"KISS1"</f>
        <v>KISS1</v>
      </c>
      <c r="B8321" t="s">
        <v>6</v>
      </c>
    </row>
    <row r="8322" spans="1:2" x14ac:dyDescent="0.2">
      <c r="A8322" t="str">
        <f>"KISS1R"</f>
        <v>KISS1R</v>
      </c>
      <c r="B8322" t="s">
        <v>5</v>
      </c>
    </row>
    <row r="8323" spans="1:2" x14ac:dyDescent="0.2">
      <c r="A8323" t="str">
        <f>"KIT"</f>
        <v>KIT</v>
      </c>
      <c r="B8323" t="s">
        <v>7</v>
      </c>
    </row>
    <row r="8324" spans="1:2" x14ac:dyDescent="0.2">
      <c r="A8324" t="str">
        <f>"KITLG"</f>
        <v>KITLG</v>
      </c>
      <c r="B8324" t="s">
        <v>3</v>
      </c>
    </row>
    <row r="8325" spans="1:2" x14ac:dyDescent="0.2">
      <c r="A8325" t="str">
        <f>"KL"</f>
        <v>KL</v>
      </c>
      <c r="B8325" t="s">
        <v>3</v>
      </c>
    </row>
    <row r="8326" spans="1:2" x14ac:dyDescent="0.2">
      <c r="A8326" t="str">
        <f>"KLB"</f>
        <v>KLB</v>
      </c>
      <c r="B8326" t="s">
        <v>5</v>
      </c>
    </row>
    <row r="8327" spans="1:2" x14ac:dyDescent="0.2">
      <c r="A8327" t="str">
        <f>"KLC1"</f>
        <v>KLC1</v>
      </c>
      <c r="B8327" t="s">
        <v>2</v>
      </c>
    </row>
    <row r="8328" spans="1:2" x14ac:dyDescent="0.2">
      <c r="A8328" t="str">
        <f>"KLC2"</f>
        <v>KLC2</v>
      </c>
      <c r="B8328" t="s">
        <v>6</v>
      </c>
    </row>
    <row r="8329" spans="1:2" x14ac:dyDescent="0.2">
      <c r="A8329" t="str">
        <f>"KLC3"</f>
        <v>KLC3</v>
      </c>
      <c r="B8329" t="s">
        <v>2</v>
      </c>
    </row>
    <row r="8330" spans="1:2" x14ac:dyDescent="0.2">
      <c r="A8330" t="str">
        <f>"KLC4"</f>
        <v>KLC4</v>
      </c>
      <c r="B8330" t="s">
        <v>6</v>
      </c>
    </row>
    <row r="8331" spans="1:2" x14ac:dyDescent="0.2">
      <c r="A8331" t="str">
        <f>"KLF1"</f>
        <v>KLF1</v>
      </c>
      <c r="B8331" t="s">
        <v>8</v>
      </c>
    </row>
    <row r="8332" spans="1:2" x14ac:dyDescent="0.2">
      <c r="A8332" t="str">
        <f>"KLF10"</f>
        <v>KLF10</v>
      </c>
      <c r="B8332" t="s">
        <v>8</v>
      </c>
    </row>
    <row r="8333" spans="1:2" x14ac:dyDescent="0.2">
      <c r="A8333" t="str">
        <f>"KLF11"</f>
        <v>KLF11</v>
      </c>
      <c r="B8333" t="s">
        <v>8</v>
      </c>
    </row>
    <row r="8334" spans="1:2" x14ac:dyDescent="0.2">
      <c r="A8334" t="str">
        <f>"KLF12"</f>
        <v>KLF12</v>
      </c>
      <c r="B8334" t="s">
        <v>8</v>
      </c>
    </row>
    <row r="8335" spans="1:2" x14ac:dyDescent="0.2">
      <c r="A8335" t="str">
        <f>"KLF13"</f>
        <v>KLF13</v>
      </c>
      <c r="B8335" t="s">
        <v>8</v>
      </c>
    </row>
    <row r="8336" spans="1:2" x14ac:dyDescent="0.2">
      <c r="A8336" t="str">
        <f>"KLF14"</f>
        <v>KLF14</v>
      </c>
      <c r="B8336" t="s">
        <v>8</v>
      </c>
    </row>
    <row r="8337" spans="1:2" x14ac:dyDescent="0.2">
      <c r="A8337" t="str">
        <f>"KLF15"</f>
        <v>KLF15</v>
      </c>
      <c r="B8337" t="s">
        <v>8</v>
      </c>
    </row>
    <row r="8338" spans="1:2" x14ac:dyDescent="0.2">
      <c r="A8338" t="str">
        <f>"KLF16"</f>
        <v>KLF16</v>
      </c>
      <c r="B8338" t="s">
        <v>8</v>
      </c>
    </row>
    <row r="8339" spans="1:2" x14ac:dyDescent="0.2">
      <c r="A8339" t="str">
        <f>"KLF17"</f>
        <v>KLF17</v>
      </c>
      <c r="B8339" t="s">
        <v>8</v>
      </c>
    </row>
    <row r="8340" spans="1:2" x14ac:dyDescent="0.2">
      <c r="A8340" t="str">
        <f>"KLF2"</f>
        <v>KLF2</v>
      </c>
      <c r="B8340" t="s">
        <v>8</v>
      </c>
    </row>
    <row r="8341" spans="1:2" x14ac:dyDescent="0.2">
      <c r="A8341" t="str">
        <f>"KLF3"</f>
        <v>KLF3</v>
      </c>
      <c r="B8341" t="s">
        <v>8</v>
      </c>
    </row>
    <row r="8342" spans="1:2" x14ac:dyDescent="0.2">
      <c r="A8342" t="str">
        <f>"KLF4"</f>
        <v>KLF4</v>
      </c>
      <c r="B8342" t="s">
        <v>3</v>
      </c>
    </row>
    <row r="8343" spans="1:2" x14ac:dyDescent="0.2">
      <c r="A8343" t="str">
        <f>"KLF5"</f>
        <v>KLF5</v>
      </c>
      <c r="B8343" t="s">
        <v>8</v>
      </c>
    </row>
    <row r="8344" spans="1:2" x14ac:dyDescent="0.2">
      <c r="A8344" t="str">
        <f>"KLF6"</f>
        <v>KLF6</v>
      </c>
      <c r="B8344" t="s">
        <v>3</v>
      </c>
    </row>
    <row r="8345" spans="1:2" x14ac:dyDescent="0.2">
      <c r="A8345" t="str">
        <f>"KLF7"</f>
        <v>KLF7</v>
      </c>
      <c r="B8345" t="s">
        <v>8</v>
      </c>
    </row>
    <row r="8346" spans="1:2" x14ac:dyDescent="0.2">
      <c r="A8346" t="str">
        <f>"KLF8"</f>
        <v>KLF8</v>
      </c>
      <c r="B8346" t="s">
        <v>8</v>
      </c>
    </row>
    <row r="8347" spans="1:2" x14ac:dyDescent="0.2">
      <c r="A8347" t="str">
        <f>"KLF9"</f>
        <v>KLF9</v>
      </c>
      <c r="B8347" t="s">
        <v>8</v>
      </c>
    </row>
    <row r="8348" spans="1:2" x14ac:dyDescent="0.2">
      <c r="A8348" t="str">
        <f>"KLHDC1"</f>
        <v>KLHDC1</v>
      </c>
      <c r="B8348" t="s">
        <v>4</v>
      </c>
    </row>
    <row r="8349" spans="1:2" x14ac:dyDescent="0.2">
      <c r="A8349" t="str">
        <f>"KLHDC10"</f>
        <v>KLHDC10</v>
      </c>
      <c r="B8349" t="s">
        <v>4</v>
      </c>
    </row>
    <row r="8350" spans="1:2" x14ac:dyDescent="0.2">
      <c r="A8350" t="str">
        <f>"KLHDC2"</f>
        <v>KLHDC2</v>
      </c>
      <c r="B8350" t="s">
        <v>4</v>
      </c>
    </row>
    <row r="8351" spans="1:2" x14ac:dyDescent="0.2">
      <c r="A8351" t="str">
        <f>"KLHDC3"</f>
        <v>KLHDC3</v>
      </c>
      <c r="B8351" t="s">
        <v>2</v>
      </c>
    </row>
    <row r="8352" spans="1:2" x14ac:dyDescent="0.2">
      <c r="A8352" t="str">
        <f>"KLHDC4"</f>
        <v>KLHDC4</v>
      </c>
      <c r="B8352" t="s">
        <v>4</v>
      </c>
    </row>
    <row r="8353" spans="1:2" x14ac:dyDescent="0.2">
      <c r="A8353" t="str">
        <f>"KLHDC7A"</f>
        <v>KLHDC7A</v>
      </c>
      <c r="B8353" t="s">
        <v>4</v>
      </c>
    </row>
    <row r="8354" spans="1:2" x14ac:dyDescent="0.2">
      <c r="A8354" t="str">
        <f>"KLHDC7B"</f>
        <v>KLHDC7B</v>
      </c>
      <c r="B8354" t="s">
        <v>4</v>
      </c>
    </row>
    <row r="8355" spans="1:2" x14ac:dyDescent="0.2">
      <c r="A8355" t="str">
        <f>"KLHDC8A"</f>
        <v>KLHDC8A</v>
      </c>
      <c r="B8355" t="s">
        <v>3</v>
      </c>
    </row>
    <row r="8356" spans="1:2" x14ac:dyDescent="0.2">
      <c r="A8356" t="str">
        <f>"KLHDC8B"</f>
        <v>KLHDC8B</v>
      </c>
      <c r="B8356" t="s">
        <v>4</v>
      </c>
    </row>
    <row r="8357" spans="1:2" x14ac:dyDescent="0.2">
      <c r="A8357" t="str">
        <f>"KLHDC9"</f>
        <v>KLHDC9</v>
      </c>
      <c r="B8357" t="s">
        <v>4</v>
      </c>
    </row>
    <row r="8358" spans="1:2" x14ac:dyDescent="0.2">
      <c r="A8358" t="str">
        <f>"KLHL1"</f>
        <v>KLHL1</v>
      </c>
      <c r="B8358" t="s">
        <v>2</v>
      </c>
    </row>
    <row r="8359" spans="1:2" x14ac:dyDescent="0.2">
      <c r="A8359" t="str">
        <f>"KLHL10"</f>
        <v>KLHL10</v>
      </c>
      <c r="B8359" t="s">
        <v>2</v>
      </c>
    </row>
    <row r="8360" spans="1:2" x14ac:dyDescent="0.2">
      <c r="A8360" t="str">
        <f>"KLHL11"</f>
        <v>KLHL11</v>
      </c>
      <c r="B8360" t="s">
        <v>2</v>
      </c>
    </row>
    <row r="8361" spans="1:2" x14ac:dyDescent="0.2">
      <c r="A8361" t="str">
        <f>"KLHL12"</f>
        <v>KLHL12</v>
      </c>
      <c r="B8361" t="s">
        <v>2</v>
      </c>
    </row>
    <row r="8362" spans="1:2" x14ac:dyDescent="0.2">
      <c r="A8362" t="str">
        <f>"KLHL13"</f>
        <v>KLHL13</v>
      </c>
      <c r="B8362" t="s">
        <v>2</v>
      </c>
    </row>
    <row r="8363" spans="1:2" x14ac:dyDescent="0.2">
      <c r="A8363" t="str">
        <f>"KLHL14"</f>
        <v>KLHL14</v>
      </c>
      <c r="B8363" t="s">
        <v>2</v>
      </c>
    </row>
    <row r="8364" spans="1:2" x14ac:dyDescent="0.2">
      <c r="A8364" t="str">
        <f>"KLHL15"</f>
        <v>KLHL15</v>
      </c>
      <c r="B8364" t="s">
        <v>2</v>
      </c>
    </row>
    <row r="8365" spans="1:2" x14ac:dyDescent="0.2">
      <c r="A8365" t="str">
        <f>"KLHL17"</f>
        <v>KLHL17</v>
      </c>
      <c r="B8365" t="s">
        <v>2</v>
      </c>
    </row>
    <row r="8366" spans="1:2" x14ac:dyDescent="0.2">
      <c r="A8366" t="str">
        <f>"KLHL18"</f>
        <v>KLHL18</v>
      </c>
      <c r="B8366" t="s">
        <v>2</v>
      </c>
    </row>
    <row r="8367" spans="1:2" x14ac:dyDescent="0.2">
      <c r="A8367" t="str">
        <f>"KLHL2"</f>
        <v>KLHL2</v>
      </c>
      <c r="B8367" t="s">
        <v>2</v>
      </c>
    </row>
    <row r="8368" spans="1:2" x14ac:dyDescent="0.2">
      <c r="A8368" t="str">
        <f>"KLHL20"</f>
        <v>KLHL20</v>
      </c>
      <c r="B8368" t="s">
        <v>2</v>
      </c>
    </row>
    <row r="8369" spans="1:2" x14ac:dyDescent="0.2">
      <c r="A8369" t="str">
        <f>"KLHL21"</f>
        <v>KLHL21</v>
      </c>
      <c r="B8369" t="s">
        <v>2</v>
      </c>
    </row>
    <row r="8370" spans="1:2" x14ac:dyDescent="0.2">
      <c r="A8370" t="str">
        <f>"KLHL22"</f>
        <v>KLHL22</v>
      </c>
      <c r="B8370" t="s">
        <v>2</v>
      </c>
    </row>
    <row r="8371" spans="1:2" x14ac:dyDescent="0.2">
      <c r="A8371" t="str">
        <f>"KLHL23"</f>
        <v>KLHL23</v>
      </c>
      <c r="B8371" t="s">
        <v>2</v>
      </c>
    </row>
    <row r="8372" spans="1:2" x14ac:dyDescent="0.2">
      <c r="A8372" t="str">
        <f>"KLHL24"</f>
        <v>KLHL24</v>
      </c>
      <c r="B8372" t="s">
        <v>2</v>
      </c>
    </row>
    <row r="8373" spans="1:2" x14ac:dyDescent="0.2">
      <c r="A8373" t="str">
        <f>"KLHL25"</f>
        <v>KLHL25</v>
      </c>
      <c r="B8373" t="s">
        <v>2</v>
      </c>
    </row>
    <row r="8374" spans="1:2" x14ac:dyDescent="0.2">
      <c r="A8374" t="str">
        <f>"KLHL26"</f>
        <v>KLHL26</v>
      </c>
      <c r="B8374" t="s">
        <v>2</v>
      </c>
    </row>
    <row r="8375" spans="1:2" x14ac:dyDescent="0.2">
      <c r="A8375" t="str">
        <f>"KLHL28"</f>
        <v>KLHL28</v>
      </c>
      <c r="B8375" t="s">
        <v>2</v>
      </c>
    </row>
    <row r="8376" spans="1:2" x14ac:dyDescent="0.2">
      <c r="A8376" t="str">
        <f>"KLHL29"</f>
        <v>KLHL29</v>
      </c>
      <c r="B8376" t="s">
        <v>2</v>
      </c>
    </row>
    <row r="8377" spans="1:2" x14ac:dyDescent="0.2">
      <c r="A8377" t="str">
        <f>"KLHL3"</f>
        <v>KLHL3</v>
      </c>
      <c r="B8377" t="s">
        <v>2</v>
      </c>
    </row>
    <row r="8378" spans="1:2" x14ac:dyDescent="0.2">
      <c r="A8378" t="str">
        <f>"KLHL30"</f>
        <v>KLHL30</v>
      </c>
      <c r="B8378" t="s">
        <v>2</v>
      </c>
    </row>
    <row r="8379" spans="1:2" x14ac:dyDescent="0.2">
      <c r="A8379" t="str">
        <f>"KLHL31"</f>
        <v>KLHL31</v>
      </c>
      <c r="B8379" t="s">
        <v>2</v>
      </c>
    </row>
    <row r="8380" spans="1:2" x14ac:dyDescent="0.2">
      <c r="A8380" t="str">
        <f>"KLHL32"</f>
        <v>KLHL32</v>
      </c>
      <c r="B8380" t="s">
        <v>2</v>
      </c>
    </row>
    <row r="8381" spans="1:2" x14ac:dyDescent="0.2">
      <c r="A8381" t="str">
        <f>"KLHL33"</f>
        <v>KLHL33</v>
      </c>
      <c r="B8381" t="s">
        <v>2</v>
      </c>
    </row>
    <row r="8382" spans="1:2" x14ac:dyDescent="0.2">
      <c r="A8382" t="str">
        <f>"KLHL34"</f>
        <v>KLHL34</v>
      </c>
      <c r="B8382" t="s">
        <v>2</v>
      </c>
    </row>
    <row r="8383" spans="1:2" x14ac:dyDescent="0.2">
      <c r="A8383" t="str">
        <f>"KLHL35"</f>
        <v>KLHL35</v>
      </c>
      <c r="B8383" t="s">
        <v>4</v>
      </c>
    </row>
    <row r="8384" spans="1:2" x14ac:dyDescent="0.2">
      <c r="A8384" t="str">
        <f>"KLHL36"</f>
        <v>KLHL36</v>
      </c>
      <c r="B8384" t="s">
        <v>2</v>
      </c>
    </row>
    <row r="8385" spans="1:2" x14ac:dyDescent="0.2">
      <c r="A8385" t="str">
        <f>"KLHL38"</f>
        <v>KLHL38</v>
      </c>
      <c r="B8385" t="s">
        <v>2</v>
      </c>
    </row>
    <row r="8386" spans="1:2" x14ac:dyDescent="0.2">
      <c r="A8386" t="str">
        <f>"KLHL4"</f>
        <v>KLHL4</v>
      </c>
      <c r="B8386" t="s">
        <v>3</v>
      </c>
    </row>
    <row r="8387" spans="1:2" x14ac:dyDescent="0.2">
      <c r="A8387" t="str">
        <f>"KLHL40"</f>
        <v>KLHL40</v>
      </c>
      <c r="B8387" t="s">
        <v>2</v>
      </c>
    </row>
    <row r="8388" spans="1:2" x14ac:dyDescent="0.2">
      <c r="A8388" t="str">
        <f>"KLHL41"</f>
        <v>KLHL41</v>
      </c>
      <c r="B8388" t="s">
        <v>2</v>
      </c>
    </row>
    <row r="8389" spans="1:2" x14ac:dyDescent="0.2">
      <c r="A8389" t="str">
        <f>"KLHL42"</f>
        <v>KLHL42</v>
      </c>
      <c r="B8389" t="s">
        <v>2</v>
      </c>
    </row>
    <row r="8390" spans="1:2" x14ac:dyDescent="0.2">
      <c r="A8390" t="str">
        <f>"KLHL5"</f>
        <v>KLHL5</v>
      </c>
      <c r="B8390" t="s">
        <v>2</v>
      </c>
    </row>
    <row r="8391" spans="1:2" x14ac:dyDescent="0.2">
      <c r="A8391" t="str">
        <f>"KLHL6"</f>
        <v>KLHL6</v>
      </c>
      <c r="B8391" t="s">
        <v>2</v>
      </c>
    </row>
    <row r="8392" spans="1:2" x14ac:dyDescent="0.2">
      <c r="A8392" t="str">
        <f>"KLHL7"</f>
        <v>KLHL7</v>
      </c>
      <c r="B8392" t="s">
        <v>2</v>
      </c>
    </row>
    <row r="8393" spans="1:2" x14ac:dyDescent="0.2">
      <c r="A8393" t="str">
        <f>"KLHL8"</f>
        <v>KLHL8</v>
      </c>
      <c r="B8393" t="s">
        <v>2</v>
      </c>
    </row>
    <row r="8394" spans="1:2" x14ac:dyDescent="0.2">
      <c r="A8394" t="str">
        <f>"KLHL9"</f>
        <v>KLHL9</v>
      </c>
      <c r="B8394" t="s">
        <v>2</v>
      </c>
    </row>
    <row r="8395" spans="1:2" x14ac:dyDescent="0.2">
      <c r="A8395" t="str">
        <f>"KLK1"</f>
        <v>KLK1</v>
      </c>
      <c r="B8395" t="s">
        <v>7</v>
      </c>
    </row>
    <row r="8396" spans="1:2" x14ac:dyDescent="0.2">
      <c r="A8396" t="str">
        <f>"KLK10"</f>
        <v>KLK10</v>
      </c>
      <c r="B8396" t="s">
        <v>3</v>
      </c>
    </row>
    <row r="8397" spans="1:2" x14ac:dyDescent="0.2">
      <c r="A8397" t="str">
        <f>"KLK11"</f>
        <v>KLK11</v>
      </c>
      <c r="B8397" t="s">
        <v>2</v>
      </c>
    </row>
    <row r="8398" spans="1:2" x14ac:dyDescent="0.2">
      <c r="A8398" t="str">
        <f>"KLK12"</f>
        <v>KLK12</v>
      </c>
      <c r="B8398" t="s">
        <v>2</v>
      </c>
    </row>
    <row r="8399" spans="1:2" x14ac:dyDescent="0.2">
      <c r="A8399" t="str">
        <f>"KLK13"</f>
        <v>KLK13</v>
      </c>
      <c r="B8399" t="s">
        <v>2</v>
      </c>
    </row>
    <row r="8400" spans="1:2" x14ac:dyDescent="0.2">
      <c r="A8400" t="str">
        <f>"KLK14"</f>
        <v>KLK14</v>
      </c>
      <c r="B8400" t="s">
        <v>2</v>
      </c>
    </row>
    <row r="8401" spans="1:2" x14ac:dyDescent="0.2">
      <c r="A8401" t="str">
        <f>"KLK15"</f>
        <v>KLK15</v>
      </c>
      <c r="B8401" t="s">
        <v>2</v>
      </c>
    </row>
    <row r="8402" spans="1:2" x14ac:dyDescent="0.2">
      <c r="A8402" t="str">
        <f>"KLK2"</f>
        <v>KLK2</v>
      </c>
      <c r="B8402" t="s">
        <v>2</v>
      </c>
    </row>
    <row r="8403" spans="1:2" x14ac:dyDescent="0.2">
      <c r="A8403" t="str">
        <f>"KLK3"</f>
        <v>KLK3</v>
      </c>
      <c r="B8403" t="s">
        <v>3</v>
      </c>
    </row>
    <row r="8404" spans="1:2" x14ac:dyDescent="0.2">
      <c r="A8404" t="str">
        <f>"KLK4"</f>
        <v>KLK4</v>
      </c>
      <c r="B8404" t="s">
        <v>2</v>
      </c>
    </row>
    <row r="8405" spans="1:2" x14ac:dyDescent="0.2">
      <c r="A8405" t="str">
        <f>"KLK5"</f>
        <v>KLK5</v>
      </c>
      <c r="B8405" t="s">
        <v>2</v>
      </c>
    </row>
    <row r="8406" spans="1:2" x14ac:dyDescent="0.2">
      <c r="A8406" t="str">
        <f>"KLK6"</f>
        <v>KLK6</v>
      </c>
      <c r="B8406" t="s">
        <v>7</v>
      </c>
    </row>
    <row r="8407" spans="1:2" x14ac:dyDescent="0.2">
      <c r="A8407" t="str">
        <f>"KLK7"</f>
        <v>KLK7</v>
      </c>
      <c r="B8407" t="s">
        <v>3</v>
      </c>
    </row>
    <row r="8408" spans="1:2" x14ac:dyDescent="0.2">
      <c r="A8408" t="str">
        <f>"KLK8"</f>
        <v>KLK8</v>
      </c>
      <c r="B8408" t="s">
        <v>2</v>
      </c>
    </row>
    <row r="8409" spans="1:2" x14ac:dyDescent="0.2">
      <c r="A8409" t="str">
        <f>"KLK9"</f>
        <v>KLK9</v>
      </c>
      <c r="B8409" t="s">
        <v>2</v>
      </c>
    </row>
    <row r="8410" spans="1:2" x14ac:dyDescent="0.2">
      <c r="A8410" t="str">
        <f>"KLKB1"</f>
        <v>KLKB1</v>
      </c>
      <c r="B8410" t="s">
        <v>2</v>
      </c>
    </row>
    <row r="8411" spans="1:2" x14ac:dyDescent="0.2">
      <c r="A8411" t="str">
        <f>"KLLN"</f>
        <v>KLLN</v>
      </c>
      <c r="B8411" t="s">
        <v>4</v>
      </c>
    </row>
    <row r="8412" spans="1:2" x14ac:dyDescent="0.2">
      <c r="A8412" t="str">
        <f>"KLRB1"</f>
        <v>KLRB1</v>
      </c>
      <c r="B8412" t="s">
        <v>5</v>
      </c>
    </row>
    <row r="8413" spans="1:2" x14ac:dyDescent="0.2">
      <c r="A8413" t="str">
        <f>"KLRC1"</f>
        <v>KLRC1</v>
      </c>
      <c r="B8413" t="s">
        <v>5</v>
      </c>
    </row>
    <row r="8414" spans="1:2" x14ac:dyDescent="0.2">
      <c r="A8414" t="str">
        <f>"KLRC2"</f>
        <v>KLRC2</v>
      </c>
      <c r="B8414" t="s">
        <v>5</v>
      </c>
    </row>
    <row r="8415" spans="1:2" x14ac:dyDescent="0.2">
      <c r="A8415" t="str">
        <f>"KLRC3"</f>
        <v>KLRC3</v>
      </c>
      <c r="B8415" t="s">
        <v>5</v>
      </c>
    </row>
    <row r="8416" spans="1:2" x14ac:dyDescent="0.2">
      <c r="A8416" t="str">
        <f>"KLRC4"</f>
        <v>KLRC4</v>
      </c>
      <c r="B8416" t="s">
        <v>5</v>
      </c>
    </row>
    <row r="8417" spans="1:2" x14ac:dyDescent="0.2">
      <c r="A8417" t="str">
        <f>"KLRC4-KLRK1"</f>
        <v>KLRC4-KLRK1</v>
      </c>
      <c r="B8417" t="s">
        <v>4</v>
      </c>
    </row>
    <row r="8418" spans="1:2" x14ac:dyDescent="0.2">
      <c r="A8418" t="str">
        <f>"KLRD1"</f>
        <v>KLRD1</v>
      </c>
      <c r="B8418" t="s">
        <v>5</v>
      </c>
    </row>
    <row r="8419" spans="1:2" x14ac:dyDescent="0.2">
      <c r="A8419" t="str">
        <f>"KLRF1"</f>
        <v>KLRF1</v>
      </c>
      <c r="B8419" t="s">
        <v>5</v>
      </c>
    </row>
    <row r="8420" spans="1:2" x14ac:dyDescent="0.2">
      <c r="A8420" t="str">
        <f>"KLRF2"</f>
        <v>KLRF2</v>
      </c>
      <c r="B8420" t="s">
        <v>4</v>
      </c>
    </row>
    <row r="8421" spans="1:2" x14ac:dyDescent="0.2">
      <c r="A8421" t="str">
        <f>"KLRG1"</f>
        <v>KLRG1</v>
      </c>
      <c r="B8421" t="s">
        <v>5</v>
      </c>
    </row>
    <row r="8422" spans="1:2" x14ac:dyDescent="0.2">
      <c r="A8422" t="str">
        <f>"KLRG2"</f>
        <v>KLRG2</v>
      </c>
      <c r="B8422" t="s">
        <v>5</v>
      </c>
    </row>
    <row r="8423" spans="1:2" x14ac:dyDescent="0.2">
      <c r="A8423" t="str">
        <f>"KLRK1"</f>
        <v>KLRK1</v>
      </c>
      <c r="B8423" t="s">
        <v>5</v>
      </c>
    </row>
    <row r="8424" spans="1:2" x14ac:dyDescent="0.2">
      <c r="A8424" t="str">
        <f>"KMO"</f>
        <v>KMO</v>
      </c>
      <c r="B8424" t="s">
        <v>6</v>
      </c>
    </row>
    <row r="8425" spans="1:2" x14ac:dyDescent="0.2">
      <c r="A8425" t="str">
        <f>"KMT2A"</f>
        <v>KMT2A</v>
      </c>
      <c r="B8425" t="s">
        <v>4</v>
      </c>
    </row>
    <row r="8426" spans="1:2" x14ac:dyDescent="0.2">
      <c r="A8426" t="str">
        <f>"KMT2B"</f>
        <v>KMT2B</v>
      </c>
      <c r="B8426" t="s">
        <v>4</v>
      </c>
    </row>
    <row r="8427" spans="1:2" x14ac:dyDescent="0.2">
      <c r="A8427" t="str">
        <f>"KMT2C"</f>
        <v>KMT2C</v>
      </c>
      <c r="B8427" t="s">
        <v>2</v>
      </c>
    </row>
    <row r="8428" spans="1:2" x14ac:dyDescent="0.2">
      <c r="A8428" t="str">
        <f>"KMT2D"</f>
        <v>KMT2D</v>
      </c>
      <c r="B8428" t="s">
        <v>2</v>
      </c>
    </row>
    <row r="8429" spans="1:2" x14ac:dyDescent="0.2">
      <c r="A8429" t="str">
        <f>"KMT2E"</f>
        <v>KMT2E</v>
      </c>
      <c r="B8429" t="s">
        <v>4</v>
      </c>
    </row>
    <row r="8430" spans="1:2" x14ac:dyDescent="0.2">
      <c r="A8430" t="str">
        <f>"KNCN"</f>
        <v>KNCN</v>
      </c>
      <c r="B8430" t="s">
        <v>5</v>
      </c>
    </row>
    <row r="8431" spans="1:2" x14ac:dyDescent="0.2">
      <c r="A8431" t="str">
        <f>"KNDC1"</f>
        <v>KNDC1</v>
      </c>
      <c r="B8431" t="s">
        <v>3</v>
      </c>
    </row>
    <row r="8432" spans="1:2" x14ac:dyDescent="0.2">
      <c r="A8432" t="str">
        <f>"KNG1"</f>
        <v>KNG1</v>
      </c>
      <c r="B8432" t="s">
        <v>3</v>
      </c>
    </row>
    <row r="8433" spans="1:2" x14ac:dyDescent="0.2">
      <c r="A8433" t="str">
        <f>"KNOP1"</f>
        <v>KNOP1</v>
      </c>
      <c r="B8433" t="s">
        <v>4</v>
      </c>
    </row>
    <row r="8434" spans="1:2" x14ac:dyDescent="0.2">
      <c r="A8434" t="str">
        <f>"KNSTRN"</f>
        <v>KNSTRN</v>
      </c>
      <c r="B8434" t="s">
        <v>3</v>
      </c>
    </row>
    <row r="8435" spans="1:2" x14ac:dyDescent="0.2">
      <c r="A8435" t="str">
        <f>"KNTC1"</f>
        <v>KNTC1</v>
      </c>
      <c r="B8435" t="s">
        <v>3</v>
      </c>
    </row>
    <row r="8436" spans="1:2" x14ac:dyDescent="0.2">
      <c r="A8436" t="str">
        <f>"KPNA1"</f>
        <v>KPNA1</v>
      </c>
      <c r="B8436" t="s">
        <v>6</v>
      </c>
    </row>
    <row r="8437" spans="1:2" x14ac:dyDescent="0.2">
      <c r="A8437" t="str">
        <f>"KPNA2"</f>
        <v>KPNA2</v>
      </c>
      <c r="B8437" t="s">
        <v>3</v>
      </c>
    </row>
    <row r="8438" spans="1:2" x14ac:dyDescent="0.2">
      <c r="A8438" t="str">
        <f>"KPNA3"</f>
        <v>KPNA3</v>
      </c>
      <c r="B8438" t="s">
        <v>6</v>
      </c>
    </row>
    <row r="8439" spans="1:2" x14ac:dyDescent="0.2">
      <c r="A8439" t="str">
        <f>"KPNA4"</f>
        <v>KPNA4</v>
      </c>
      <c r="B8439" t="s">
        <v>6</v>
      </c>
    </row>
    <row r="8440" spans="1:2" x14ac:dyDescent="0.2">
      <c r="A8440" t="str">
        <f>"KPNA5"</f>
        <v>KPNA5</v>
      </c>
      <c r="B8440" t="s">
        <v>3</v>
      </c>
    </row>
    <row r="8441" spans="1:2" x14ac:dyDescent="0.2">
      <c r="A8441" t="str">
        <f>"KPNA6"</f>
        <v>KPNA6</v>
      </c>
      <c r="B8441" t="s">
        <v>3</v>
      </c>
    </row>
    <row r="8442" spans="1:2" x14ac:dyDescent="0.2">
      <c r="A8442" t="str">
        <f>"KPNA7"</f>
        <v>KPNA7</v>
      </c>
      <c r="B8442" t="s">
        <v>4</v>
      </c>
    </row>
    <row r="8443" spans="1:2" x14ac:dyDescent="0.2">
      <c r="A8443" t="str">
        <f>"KPNB1"</f>
        <v>KPNB1</v>
      </c>
      <c r="B8443" t="s">
        <v>6</v>
      </c>
    </row>
    <row r="8444" spans="1:2" x14ac:dyDescent="0.2">
      <c r="A8444" t="str">
        <f>"KPRP"</f>
        <v>KPRP</v>
      </c>
      <c r="B8444" t="s">
        <v>4</v>
      </c>
    </row>
    <row r="8445" spans="1:2" x14ac:dyDescent="0.2">
      <c r="A8445" t="str">
        <f>"KPTN"</f>
        <v>KPTN</v>
      </c>
      <c r="B8445" t="s">
        <v>6</v>
      </c>
    </row>
    <row r="8446" spans="1:2" x14ac:dyDescent="0.2">
      <c r="A8446" t="str">
        <f>"KRAS"</f>
        <v>KRAS</v>
      </c>
      <c r="B8446" t="s">
        <v>3</v>
      </c>
    </row>
    <row r="8447" spans="1:2" x14ac:dyDescent="0.2">
      <c r="A8447" t="str">
        <f>"KRBA1"</f>
        <v>KRBA1</v>
      </c>
      <c r="B8447" t="s">
        <v>8</v>
      </c>
    </row>
    <row r="8448" spans="1:2" x14ac:dyDescent="0.2">
      <c r="A8448" t="str">
        <f>"KRBA2"</f>
        <v>KRBA2</v>
      </c>
      <c r="B8448" t="s">
        <v>8</v>
      </c>
    </row>
    <row r="8449" spans="1:2" x14ac:dyDescent="0.2">
      <c r="A8449" t="str">
        <f>"KRBOX1"</f>
        <v>KRBOX1</v>
      </c>
      <c r="B8449" t="s">
        <v>4</v>
      </c>
    </row>
    <row r="8450" spans="1:2" x14ac:dyDescent="0.2">
      <c r="A8450" t="str">
        <f>"KRBOX4"</f>
        <v>KRBOX4</v>
      </c>
      <c r="B8450" t="s">
        <v>4</v>
      </c>
    </row>
    <row r="8451" spans="1:2" x14ac:dyDescent="0.2">
      <c r="A8451" t="str">
        <f>"KRCC1"</f>
        <v>KRCC1</v>
      </c>
      <c r="B8451" t="s">
        <v>4</v>
      </c>
    </row>
    <row r="8452" spans="1:2" x14ac:dyDescent="0.2">
      <c r="A8452" t="str">
        <f>"KREMEN1"</f>
        <v>KREMEN1</v>
      </c>
      <c r="B8452" t="s">
        <v>5</v>
      </c>
    </row>
    <row r="8453" spans="1:2" x14ac:dyDescent="0.2">
      <c r="A8453" t="str">
        <f>"KREMEN2"</f>
        <v>KREMEN2</v>
      </c>
      <c r="B8453" t="s">
        <v>5</v>
      </c>
    </row>
    <row r="8454" spans="1:2" x14ac:dyDescent="0.2">
      <c r="A8454" t="str">
        <f>"KRI1"</f>
        <v>KRI1</v>
      </c>
      <c r="B8454" t="s">
        <v>8</v>
      </c>
    </row>
    <row r="8455" spans="1:2" x14ac:dyDescent="0.2">
      <c r="A8455" t="str">
        <f>"KRIT1"</f>
        <v>KRIT1</v>
      </c>
      <c r="B8455" t="s">
        <v>3</v>
      </c>
    </row>
    <row r="8456" spans="1:2" x14ac:dyDescent="0.2">
      <c r="A8456" t="str">
        <f>"KRR1"</f>
        <v>KRR1</v>
      </c>
      <c r="B8456" t="s">
        <v>8</v>
      </c>
    </row>
    <row r="8457" spans="1:2" x14ac:dyDescent="0.2">
      <c r="A8457" t="str">
        <f>"KRT1"</f>
        <v>KRT1</v>
      </c>
      <c r="B8457" t="s">
        <v>2</v>
      </c>
    </row>
    <row r="8458" spans="1:2" x14ac:dyDescent="0.2">
      <c r="A8458" t="str">
        <f>"KRT10"</f>
        <v>KRT10</v>
      </c>
      <c r="B8458" t="s">
        <v>6</v>
      </c>
    </row>
    <row r="8459" spans="1:2" x14ac:dyDescent="0.2">
      <c r="A8459" t="str">
        <f>"KRT12"</f>
        <v>KRT12</v>
      </c>
      <c r="B8459" t="s">
        <v>7</v>
      </c>
    </row>
    <row r="8460" spans="1:2" x14ac:dyDescent="0.2">
      <c r="A8460" t="str">
        <f>"KRT13"</f>
        <v>KRT13</v>
      </c>
      <c r="B8460" t="s">
        <v>6</v>
      </c>
    </row>
    <row r="8461" spans="1:2" x14ac:dyDescent="0.2">
      <c r="A8461" t="str">
        <f>"KRT14"</f>
        <v>KRT14</v>
      </c>
      <c r="B8461" t="s">
        <v>6</v>
      </c>
    </row>
    <row r="8462" spans="1:2" x14ac:dyDescent="0.2">
      <c r="A8462" t="str">
        <f>"KRT15"</f>
        <v>KRT15</v>
      </c>
      <c r="B8462" t="s">
        <v>6</v>
      </c>
    </row>
    <row r="8463" spans="1:2" x14ac:dyDescent="0.2">
      <c r="A8463" t="str">
        <f>"KRT16"</f>
        <v>KRT16</v>
      </c>
      <c r="B8463" t="s">
        <v>6</v>
      </c>
    </row>
    <row r="8464" spans="1:2" x14ac:dyDescent="0.2">
      <c r="A8464" t="str">
        <f>"KRT17"</f>
        <v>KRT17</v>
      </c>
      <c r="B8464" t="s">
        <v>6</v>
      </c>
    </row>
    <row r="8465" spans="1:2" x14ac:dyDescent="0.2">
      <c r="A8465" t="str">
        <f>"KRT18"</f>
        <v>KRT18</v>
      </c>
      <c r="B8465" t="s">
        <v>3</v>
      </c>
    </row>
    <row r="8466" spans="1:2" x14ac:dyDescent="0.2">
      <c r="A8466" t="str">
        <f>"KRT19"</f>
        <v>KRT19</v>
      </c>
      <c r="B8466" t="s">
        <v>6</v>
      </c>
    </row>
    <row r="8467" spans="1:2" x14ac:dyDescent="0.2">
      <c r="A8467" t="str">
        <f>"KRT2"</f>
        <v>KRT2</v>
      </c>
      <c r="B8467" t="s">
        <v>6</v>
      </c>
    </row>
    <row r="8468" spans="1:2" x14ac:dyDescent="0.2">
      <c r="A8468" t="str">
        <f>"KRT20"</f>
        <v>KRT20</v>
      </c>
      <c r="B8468" t="s">
        <v>6</v>
      </c>
    </row>
    <row r="8469" spans="1:2" x14ac:dyDescent="0.2">
      <c r="A8469" t="str">
        <f>"KRT222"</f>
        <v>KRT222</v>
      </c>
      <c r="B8469" t="s">
        <v>4</v>
      </c>
    </row>
    <row r="8470" spans="1:2" x14ac:dyDescent="0.2">
      <c r="A8470" t="str">
        <f>"KRT23"</f>
        <v>KRT23</v>
      </c>
      <c r="B8470" t="s">
        <v>4</v>
      </c>
    </row>
    <row r="8471" spans="1:2" x14ac:dyDescent="0.2">
      <c r="A8471" t="str">
        <f>"KRT24"</f>
        <v>KRT24</v>
      </c>
      <c r="B8471" t="s">
        <v>6</v>
      </c>
    </row>
    <row r="8472" spans="1:2" x14ac:dyDescent="0.2">
      <c r="A8472" t="str">
        <f>"KRT25"</f>
        <v>KRT25</v>
      </c>
      <c r="B8472" t="s">
        <v>4</v>
      </c>
    </row>
    <row r="8473" spans="1:2" x14ac:dyDescent="0.2">
      <c r="A8473" t="str">
        <f>"KRT26"</f>
        <v>KRT26</v>
      </c>
      <c r="B8473" t="s">
        <v>4</v>
      </c>
    </row>
    <row r="8474" spans="1:2" x14ac:dyDescent="0.2">
      <c r="A8474" t="str">
        <f>"KRT27"</f>
        <v>KRT27</v>
      </c>
      <c r="B8474" t="s">
        <v>6</v>
      </c>
    </row>
    <row r="8475" spans="1:2" x14ac:dyDescent="0.2">
      <c r="A8475" t="str">
        <f>"KRT28"</f>
        <v>KRT28</v>
      </c>
      <c r="B8475" t="s">
        <v>4</v>
      </c>
    </row>
    <row r="8476" spans="1:2" x14ac:dyDescent="0.2">
      <c r="A8476" t="str">
        <f>"KRT3"</f>
        <v>KRT3</v>
      </c>
      <c r="B8476" t="s">
        <v>6</v>
      </c>
    </row>
    <row r="8477" spans="1:2" x14ac:dyDescent="0.2">
      <c r="A8477" t="str">
        <f>"KRT31"</f>
        <v>KRT31</v>
      </c>
      <c r="B8477" t="s">
        <v>6</v>
      </c>
    </row>
    <row r="8478" spans="1:2" x14ac:dyDescent="0.2">
      <c r="A8478" t="str">
        <f>"KRT32"</f>
        <v>KRT32</v>
      </c>
      <c r="B8478" t="s">
        <v>6</v>
      </c>
    </row>
    <row r="8479" spans="1:2" x14ac:dyDescent="0.2">
      <c r="A8479" t="str">
        <f>"KRT33A"</f>
        <v>KRT33A</v>
      </c>
      <c r="B8479" t="s">
        <v>4</v>
      </c>
    </row>
    <row r="8480" spans="1:2" x14ac:dyDescent="0.2">
      <c r="A8480" t="str">
        <f>"KRT33B"</f>
        <v>KRT33B</v>
      </c>
      <c r="B8480" t="s">
        <v>6</v>
      </c>
    </row>
    <row r="8481" spans="1:2" x14ac:dyDescent="0.2">
      <c r="A8481" t="str">
        <f>"KRT34"</f>
        <v>KRT34</v>
      </c>
      <c r="B8481" t="s">
        <v>6</v>
      </c>
    </row>
    <row r="8482" spans="1:2" x14ac:dyDescent="0.2">
      <c r="A8482" t="str">
        <f>"KRT35"</f>
        <v>KRT35</v>
      </c>
      <c r="B8482" t="s">
        <v>4</v>
      </c>
    </row>
    <row r="8483" spans="1:2" x14ac:dyDescent="0.2">
      <c r="A8483" t="str">
        <f>"KRT36"</f>
        <v>KRT36</v>
      </c>
      <c r="B8483" t="s">
        <v>4</v>
      </c>
    </row>
    <row r="8484" spans="1:2" x14ac:dyDescent="0.2">
      <c r="A8484" t="str">
        <f>"KRT37"</f>
        <v>KRT37</v>
      </c>
      <c r="B8484" t="s">
        <v>6</v>
      </c>
    </row>
    <row r="8485" spans="1:2" x14ac:dyDescent="0.2">
      <c r="A8485" t="str">
        <f>"KRT38"</f>
        <v>KRT38</v>
      </c>
      <c r="B8485" t="s">
        <v>4</v>
      </c>
    </row>
    <row r="8486" spans="1:2" x14ac:dyDescent="0.2">
      <c r="A8486" t="str">
        <f>"KRT39"</f>
        <v>KRT39</v>
      </c>
      <c r="B8486" t="s">
        <v>6</v>
      </c>
    </row>
    <row r="8487" spans="1:2" x14ac:dyDescent="0.2">
      <c r="A8487" t="str">
        <f>"KRT4"</f>
        <v>KRT4</v>
      </c>
      <c r="B8487" t="s">
        <v>6</v>
      </c>
    </row>
    <row r="8488" spans="1:2" x14ac:dyDescent="0.2">
      <c r="A8488" t="str">
        <f>"KRT40"</f>
        <v>KRT40</v>
      </c>
      <c r="B8488" t="s">
        <v>4</v>
      </c>
    </row>
    <row r="8489" spans="1:2" x14ac:dyDescent="0.2">
      <c r="A8489" t="str">
        <f>"KRT5"</f>
        <v>KRT5</v>
      </c>
      <c r="B8489" t="s">
        <v>2</v>
      </c>
    </row>
    <row r="8490" spans="1:2" x14ac:dyDescent="0.2">
      <c r="A8490" t="str">
        <f>"KRT6A"</f>
        <v>KRT6A</v>
      </c>
      <c r="B8490" t="s">
        <v>2</v>
      </c>
    </row>
    <row r="8491" spans="1:2" x14ac:dyDescent="0.2">
      <c r="A8491" t="str">
        <f>"KRT6B"</f>
        <v>KRT6B</v>
      </c>
      <c r="B8491" t="s">
        <v>6</v>
      </c>
    </row>
    <row r="8492" spans="1:2" x14ac:dyDescent="0.2">
      <c r="A8492" t="str">
        <f>"KRT6C"</f>
        <v>KRT6C</v>
      </c>
      <c r="B8492" t="s">
        <v>6</v>
      </c>
    </row>
    <row r="8493" spans="1:2" x14ac:dyDescent="0.2">
      <c r="A8493" t="str">
        <f>"KRT7"</f>
        <v>KRT7</v>
      </c>
      <c r="B8493" t="s">
        <v>7</v>
      </c>
    </row>
    <row r="8494" spans="1:2" x14ac:dyDescent="0.2">
      <c r="A8494" t="str">
        <f>"KRT71"</f>
        <v>KRT71</v>
      </c>
      <c r="B8494" t="s">
        <v>6</v>
      </c>
    </row>
    <row r="8495" spans="1:2" x14ac:dyDescent="0.2">
      <c r="A8495" t="str">
        <f>"KRT72"</f>
        <v>KRT72</v>
      </c>
      <c r="B8495" t="s">
        <v>4</v>
      </c>
    </row>
    <row r="8496" spans="1:2" x14ac:dyDescent="0.2">
      <c r="A8496" t="str">
        <f>"KRT73"</f>
        <v>KRT73</v>
      </c>
      <c r="B8496" t="s">
        <v>2</v>
      </c>
    </row>
    <row r="8497" spans="1:2" x14ac:dyDescent="0.2">
      <c r="A8497" t="str">
        <f>"KRT74"</f>
        <v>KRT74</v>
      </c>
      <c r="B8497" t="s">
        <v>4</v>
      </c>
    </row>
    <row r="8498" spans="1:2" x14ac:dyDescent="0.2">
      <c r="A8498" t="str">
        <f>"KRT75"</f>
        <v>KRT75</v>
      </c>
      <c r="B8498" t="s">
        <v>4</v>
      </c>
    </row>
    <row r="8499" spans="1:2" x14ac:dyDescent="0.2">
      <c r="A8499" t="str">
        <f>"KRT76"</f>
        <v>KRT76</v>
      </c>
      <c r="B8499" t="s">
        <v>6</v>
      </c>
    </row>
    <row r="8500" spans="1:2" x14ac:dyDescent="0.2">
      <c r="A8500" t="str">
        <f>"KRT77"</f>
        <v>KRT77</v>
      </c>
      <c r="B8500" t="s">
        <v>4</v>
      </c>
    </row>
    <row r="8501" spans="1:2" x14ac:dyDescent="0.2">
      <c r="A8501" t="str">
        <f>"KRT78"</f>
        <v>KRT78</v>
      </c>
      <c r="B8501" t="s">
        <v>2</v>
      </c>
    </row>
    <row r="8502" spans="1:2" x14ac:dyDescent="0.2">
      <c r="A8502" t="str">
        <f>"KRT79"</f>
        <v>KRT79</v>
      </c>
      <c r="B8502" t="s">
        <v>4</v>
      </c>
    </row>
    <row r="8503" spans="1:2" x14ac:dyDescent="0.2">
      <c r="A8503" t="str">
        <f>"KRT8"</f>
        <v>KRT8</v>
      </c>
      <c r="B8503" t="s">
        <v>7</v>
      </c>
    </row>
    <row r="8504" spans="1:2" x14ac:dyDescent="0.2">
      <c r="A8504" t="str">
        <f>"KRT80"</f>
        <v>KRT80</v>
      </c>
      <c r="B8504" t="s">
        <v>4</v>
      </c>
    </row>
    <row r="8505" spans="1:2" x14ac:dyDescent="0.2">
      <c r="A8505" t="str">
        <f>"KRT81"</f>
        <v>KRT81</v>
      </c>
      <c r="B8505" t="s">
        <v>4</v>
      </c>
    </row>
    <row r="8506" spans="1:2" x14ac:dyDescent="0.2">
      <c r="A8506" t="str">
        <f>"KRT82"</f>
        <v>KRT82</v>
      </c>
      <c r="B8506" t="s">
        <v>4</v>
      </c>
    </row>
    <row r="8507" spans="1:2" x14ac:dyDescent="0.2">
      <c r="A8507" t="str">
        <f>"KRT83"</f>
        <v>KRT83</v>
      </c>
      <c r="B8507" t="s">
        <v>4</v>
      </c>
    </row>
    <row r="8508" spans="1:2" x14ac:dyDescent="0.2">
      <c r="A8508" t="str">
        <f>"KRT84"</f>
        <v>KRT84</v>
      </c>
      <c r="B8508" t="s">
        <v>6</v>
      </c>
    </row>
    <row r="8509" spans="1:2" x14ac:dyDescent="0.2">
      <c r="A8509" t="str">
        <f>"KRT85"</f>
        <v>KRT85</v>
      </c>
      <c r="B8509" t="s">
        <v>4</v>
      </c>
    </row>
    <row r="8510" spans="1:2" x14ac:dyDescent="0.2">
      <c r="A8510" t="str">
        <f>"KRT86"</f>
        <v>KRT86</v>
      </c>
      <c r="B8510" t="s">
        <v>6</v>
      </c>
    </row>
    <row r="8511" spans="1:2" x14ac:dyDescent="0.2">
      <c r="A8511" t="str">
        <f>"KRT9"</f>
        <v>KRT9</v>
      </c>
      <c r="B8511" t="s">
        <v>6</v>
      </c>
    </row>
    <row r="8512" spans="1:2" x14ac:dyDescent="0.2">
      <c r="A8512" t="str">
        <f>"KRTAP1-1"</f>
        <v>KRTAP1-1</v>
      </c>
      <c r="B8512" t="s">
        <v>4</v>
      </c>
    </row>
    <row r="8513" spans="1:2" x14ac:dyDescent="0.2">
      <c r="A8513" t="str">
        <f>"KRTAP1-3"</f>
        <v>KRTAP1-3</v>
      </c>
      <c r="B8513" t="s">
        <v>4</v>
      </c>
    </row>
    <row r="8514" spans="1:2" x14ac:dyDescent="0.2">
      <c r="A8514" t="str">
        <f>"KRTAP1-4"</f>
        <v>KRTAP1-4</v>
      </c>
      <c r="B8514" t="s">
        <v>4</v>
      </c>
    </row>
    <row r="8515" spans="1:2" x14ac:dyDescent="0.2">
      <c r="A8515" t="str">
        <f>"KRTAP1-5"</f>
        <v>KRTAP1-5</v>
      </c>
      <c r="B8515" t="s">
        <v>4</v>
      </c>
    </row>
    <row r="8516" spans="1:2" x14ac:dyDescent="0.2">
      <c r="A8516" t="str">
        <f>"KRTAP10-10"</f>
        <v>KRTAP10-10</v>
      </c>
      <c r="B8516" t="s">
        <v>4</v>
      </c>
    </row>
    <row r="8517" spans="1:2" x14ac:dyDescent="0.2">
      <c r="A8517" t="str">
        <f>"KRTAP10-12"</f>
        <v>KRTAP10-12</v>
      </c>
      <c r="B8517" t="s">
        <v>4</v>
      </c>
    </row>
    <row r="8518" spans="1:2" x14ac:dyDescent="0.2">
      <c r="A8518" t="str">
        <f>"KRTAP10-3"</f>
        <v>KRTAP10-3</v>
      </c>
      <c r="B8518" t="s">
        <v>4</v>
      </c>
    </row>
    <row r="8519" spans="1:2" x14ac:dyDescent="0.2">
      <c r="A8519" t="str">
        <f>"KRTAP10-4"</f>
        <v>KRTAP10-4</v>
      </c>
      <c r="B8519" t="s">
        <v>4</v>
      </c>
    </row>
    <row r="8520" spans="1:2" x14ac:dyDescent="0.2">
      <c r="A8520" t="str">
        <f>"KRTAP10-5"</f>
        <v>KRTAP10-5</v>
      </c>
      <c r="B8520" t="s">
        <v>4</v>
      </c>
    </row>
    <row r="8521" spans="1:2" x14ac:dyDescent="0.2">
      <c r="A8521" t="str">
        <f>"KRTAP10-7"</f>
        <v>KRTAP10-7</v>
      </c>
      <c r="B8521" t="s">
        <v>4</v>
      </c>
    </row>
    <row r="8522" spans="1:2" x14ac:dyDescent="0.2">
      <c r="A8522" t="str">
        <f>"KRTAP10-8"</f>
        <v>KRTAP10-8</v>
      </c>
      <c r="B8522" t="s">
        <v>4</v>
      </c>
    </row>
    <row r="8523" spans="1:2" x14ac:dyDescent="0.2">
      <c r="A8523" t="str">
        <f>"KRTAP11-1"</f>
        <v>KRTAP11-1</v>
      </c>
      <c r="B8523" t="s">
        <v>4</v>
      </c>
    </row>
    <row r="8524" spans="1:2" x14ac:dyDescent="0.2">
      <c r="A8524" t="str">
        <f>"KRTAP12-1"</f>
        <v>KRTAP12-1</v>
      </c>
      <c r="B8524" t="s">
        <v>4</v>
      </c>
    </row>
    <row r="8525" spans="1:2" x14ac:dyDescent="0.2">
      <c r="A8525" t="str">
        <f>"KRTAP12-2"</f>
        <v>KRTAP12-2</v>
      </c>
      <c r="B8525" t="s">
        <v>4</v>
      </c>
    </row>
    <row r="8526" spans="1:2" x14ac:dyDescent="0.2">
      <c r="A8526" t="str">
        <f>"KRTAP12-3"</f>
        <v>KRTAP12-3</v>
      </c>
      <c r="B8526" t="s">
        <v>4</v>
      </c>
    </row>
    <row r="8527" spans="1:2" x14ac:dyDescent="0.2">
      <c r="A8527" t="str">
        <f>"KRTAP12-4"</f>
        <v>KRTAP12-4</v>
      </c>
      <c r="B8527" t="s">
        <v>4</v>
      </c>
    </row>
    <row r="8528" spans="1:2" x14ac:dyDescent="0.2">
      <c r="A8528" t="str">
        <f>"KRTAP13-1"</f>
        <v>KRTAP13-1</v>
      </c>
      <c r="B8528" t="s">
        <v>4</v>
      </c>
    </row>
    <row r="8529" spans="1:2" x14ac:dyDescent="0.2">
      <c r="A8529" t="str">
        <f>"KRTAP13-2"</f>
        <v>KRTAP13-2</v>
      </c>
      <c r="B8529" t="s">
        <v>4</v>
      </c>
    </row>
    <row r="8530" spans="1:2" x14ac:dyDescent="0.2">
      <c r="A8530" t="str">
        <f>"KRTAP13-3"</f>
        <v>KRTAP13-3</v>
      </c>
      <c r="B8530" t="s">
        <v>4</v>
      </c>
    </row>
    <row r="8531" spans="1:2" x14ac:dyDescent="0.2">
      <c r="A8531" t="str">
        <f>"KRTAP13-4"</f>
        <v>KRTAP13-4</v>
      </c>
      <c r="B8531" t="s">
        <v>4</v>
      </c>
    </row>
    <row r="8532" spans="1:2" x14ac:dyDescent="0.2">
      <c r="A8532" t="str">
        <f>"KRTAP15-1"</f>
        <v>KRTAP15-1</v>
      </c>
      <c r="B8532" t="s">
        <v>4</v>
      </c>
    </row>
    <row r="8533" spans="1:2" x14ac:dyDescent="0.2">
      <c r="A8533" t="str">
        <f>"KRTAP16-1"</f>
        <v>KRTAP16-1</v>
      </c>
      <c r="B8533" t="s">
        <v>4</v>
      </c>
    </row>
    <row r="8534" spans="1:2" x14ac:dyDescent="0.2">
      <c r="A8534" t="str">
        <f>"KRTAP17-1"</f>
        <v>KRTAP17-1</v>
      </c>
      <c r="B8534" t="s">
        <v>4</v>
      </c>
    </row>
    <row r="8535" spans="1:2" x14ac:dyDescent="0.2">
      <c r="A8535" t="str">
        <f>"KRTAP19-1"</f>
        <v>KRTAP19-1</v>
      </c>
      <c r="B8535" t="s">
        <v>4</v>
      </c>
    </row>
    <row r="8536" spans="1:2" x14ac:dyDescent="0.2">
      <c r="A8536" t="str">
        <f>"KRTAP19-2"</f>
        <v>KRTAP19-2</v>
      </c>
      <c r="B8536" t="s">
        <v>4</v>
      </c>
    </row>
    <row r="8537" spans="1:2" x14ac:dyDescent="0.2">
      <c r="A8537" t="str">
        <f>"KRTAP19-3"</f>
        <v>KRTAP19-3</v>
      </c>
      <c r="B8537" t="s">
        <v>4</v>
      </c>
    </row>
    <row r="8538" spans="1:2" x14ac:dyDescent="0.2">
      <c r="A8538" t="str">
        <f>"KRTAP19-4"</f>
        <v>KRTAP19-4</v>
      </c>
      <c r="B8538" t="s">
        <v>4</v>
      </c>
    </row>
    <row r="8539" spans="1:2" x14ac:dyDescent="0.2">
      <c r="A8539" t="str">
        <f>"KRTAP19-5"</f>
        <v>KRTAP19-5</v>
      </c>
      <c r="B8539" t="s">
        <v>4</v>
      </c>
    </row>
    <row r="8540" spans="1:2" x14ac:dyDescent="0.2">
      <c r="A8540" t="str">
        <f>"KRTAP19-6"</f>
        <v>KRTAP19-6</v>
      </c>
      <c r="B8540" t="s">
        <v>4</v>
      </c>
    </row>
    <row r="8541" spans="1:2" x14ac:dyDescent="0.2">
      <c r="A8541" t="str">
        <f>"KRTAP19-7"</f>
        <v>KRTAP19-7</v>
      </c>
      <c r="B8541" t="s">
        <v>4</v>
      </c>
    </row>
    <row r="8542" spans="1:2" x14ac:dyDescent="0.2">
      <c r="A8542" t="str">
        <f>"KRTAP19-8"</f>
        <v>KRTAP19-8</v>
      </c>
      <c r="B8542" t="s">
        <v>4</v>
      </c>
    </row>
    <row r="8543" spans="1:2" x14ac:dyDescent="0.2">
      <c r="A8543" t="str">
        <f>"KRTAP2-3"</f>
        <v>KRTAP2-3</v>
      </c>
      <c r="B8543" t="s">
        <v>4</v>
      </c>
    </row>
    <row r="8544" spans="1:2" x14ac:dyDescent="0.2">
      <c r="A8544" t="str">
        <f>"KRTAP2-4"</f>
        <v>KRTAP2-4</v>
      </c>
      <c r="B8544" t="s">
        <v>4</v>
      </c>
    </row>
    <row r="8545" spans="1:2" x14ac:dyDescent="0.2">
      <c r="A8545" t="str">
        <f>"KRTAP20-1"</f>
        <v>KRTAP20-1</v>
      </c>
      <c r="B8545" t="s">
        <v>4</v>
      </c>
    </row>
    <row r="8546" spans="1:2" x14ac:dyDescent="0.2">
      <c r="A8546" t="str">
        <f>"KRTAP20-2"</f>
        <v>KRTAP20-2</v>
      </c>
      <c r="B8546" t="s">
        <v>4</v>
      </c>
    </row>
    <row r="8547" spans="1:2" x14ac:dyDescent="0.2">
      <c r="A8547" t="str">
        <f>"KRTAP20-3"</f>
        <v>KRTAP20-3</v>
      </c>
      <c r="B8547" t="s">
        <v>4</v>
      </c>
    </row>
    <row r="8548" spans="1:2" x14ac:dyDescent="0.2">
      <c r="A8548" t="str">
        <f>"KRTAP21-1"</f>
        <v>KRTAP21-1</v>
      </c>
      <c r="B8548" t="s">
        <v>4</v>
      </c>
    </row>
    <row r="8549" spans="1:2" x14ac:dyDescent="0.2">
      <c r="A8549" t="str">
        <f>"KRTAP21-2"</f>
        <v>KRTAP21-2</v>
      </c>
      <c r="B8549" t="s">
        <v>4</v>
      </c>
    </row>
    <row r="8550" spans="1:2" x14ac:dyDescent="0.2">
      <c r="A8550" t="str">
        <f>"KRTAP21-3"</f>
        <v>KRTAP21-3</v>
      </c>
      <c r="B8550" t="s">
        <v>4</v>
      </c>
    </row>
    <row r="8551" spans="1:2" x14ac:dyDescent="0.2">
      <c r="A8551" t="str">
        <f>"KRTAP22-1"</f>
        <v>KRTAP22-1</v>
      </c>
      <c r="B8551" t="s">
        <v>4</v>
      </c>
    </row>
    <row r="8552" spans="1:2" x14ac:dyDescent="0.2">
      <c r="A8552" t="str">
        <f>"KRTAP22-2"</f>
        <v>KRTAP22-2</v>
      </c>
      <c r="B8552" t="s">
        <v>4</v>
      </c>
    </row>
    <row r="8553" spans="1:2" x14ac:dyDescent="0.2">
      <c r="A8553" t="str">
        <f>"KRTAP23-1"</f>
        <v>KRTAP23-1</v>
      </c>
      <c r="B8553" t="s">
        <v>4</v>
      </c>
    </row>
    <row r="8554" spans="1:2" x14ac:dyDescent="0.2">
      <c r="A8554" t="str">
        <f>"KRTAP24-1"</f>
        <v>KRTAP24-1</v>
      </c>
      <c r="B8554" t="s">
        <v>4</v>
      </c>
    </row>
    <row r="8555" spans="1:2" x14ac:dyDescent="0.2">
      <c r="A8555" t="str">
        <f>"KRTAP25-1"</f>
        <v>KRTAP25-1</v>
      </c>
      <c r="B8555" t="s">
        <v>4</v>
      </c>
    </row>
    <row r="8556" spans="1:2" x14ac:dyDescent="0.2">
      <c r="A8556" t="str">
        <f>"KRTAP26-1"</f>
        <v>KRTAP26-1</v>
      </c>
      <c r="B8556" t="s">
        <v>4</v>
      </c>
    </row>
    <row r="8557" spans="1:2" x14ac:dyDescent="0.2">
      <c r="A8557" t="str">
        <f>"KRTAP27-1"</f>
        <v>KRTAP27-1</v>
      </c>
      <c r="B8557" t="s">
        <v>4</v>
      </c>
    </row>
    <row r="8558" spans="1:2" x14ac:dyDescent="0.2">
      <c r="A8558" t="str">
        <f>"KRTAP29-1"</f>
        <v>KRTAP29-1</v>
      </c>
      <c r="B8558" t="s">
        <v>4</v>
      </c>
    </row>
    <row r="8559" spans="1:2" x14ac:dyDescent="0.2">
      <c r="A8559" t="str">
        <f>"KRTAP3-1"</f>
        <v>KRTAP3-1</v>
      </c>
      <c r="B8559" t="s">
        <v>4</v>
      </c>
    </row>
    <row r="8560" spans="1:2" x14ac:dyDescent="0.2">
      <c r="A8560" t="str">
        <f>"KRTAP3-2"</f>
        <v>KRTAP3-2</v>
      </c>
      <c r="B8560" t="s">
        <v>4</v>
      </c>
    </row>
    <row r="8561" spans="1:2" x14ac:dyDescent="0.2">
      <c r="A8561" t="str">
        <f>"KRTAP3-3"</f>
        <v>KRTAP3-3</v>
      </c>
      <c r="B8561" t="s">
        <v>4</v>
      </c>
    </row>
    <row r="8562" spans="1:2" x14ac:dyDescent="0.2">
      <c r="A8562" t="str">
        <f>"KRTAP4-1"</f>
        <v>KRTAP4-1</v>
      </c>
      <c r="B8562" t="s">
        <v>4</v>
      </c>
    </row>
    <row r="8563" spans="1:2" x14ac:dyDescent="0.2">
      <c r="A8563" t="str">
        <f>"KRTAP4-11"</f>
        <v>KRTAP4-11</v>
      </c>
      <c r="B8563" t="s">
        <v>4</v>
      </c>
    </row>
    <row r="8564" spans="1:2" x14ac:dyDescent="0.2">
      <c r="A8564" t="str">
        <f>"KRTAP4-2"</f>
        <v>KRTAP4-2</v>
      </c>
      <c r="B8564" t="s">
        <v>4</v>
      </c>
    </row>
    <row r="8565" spans="1:2" x14ac:dyDescent="0.2">
      <c r="A8565" t="str">
        <f>"KRTAP4-3"</f>
        <v>KRTAP4-3</v>
      </c>
      <c r="B8565" t="s">
        <v>4</v>
      </c>
    </row>
    <row r="8566" spans="1:2" x14ac:dyDescent="0.2">
      <c r="A8566" t="str">
        <f>"KRTAP4-4"</f>
        <v>KRTAP4-4</v>
      </c>
      <c r="B8566" t="s">
        <v>4</v>
      </c>
    </row>
    <row r="8567" spans="1:2" x14ac:dyDescent="0.2">
      <c r="A8567" t="str">
        <f>"KRTAP4-5"</f>
        <v>KRTAP4-5</v>
      </c>
      <c r="B8567" t="s">
        <v>4</v>
      </c>
    </row>
    <row r="8568" spans="1:2" x14ac:dyDescent="0.2">
      <c r="A8568" t="str">
        <f>"KRTAP4-6"</f>
        <v>KRTAP4-6</v>
      </c>
      <c r="B8568" t="s">
        <v>4</v>
      </c>
    </row>
    <row r="8569" spans="1:2" x14ac:dyDescent="0.2">
      <c r="A8569" t="str">
        <f>"KRTAP4-7"</f>
        <v>KRTAP4-7</v>
      </c>
      <c r="B8569" t="s">
        <v>4</v>
      </c>
    </row>
    <row r="8570" spans="1:2" x14ac:dyDescent="0.2">
      <c r="A8570" t="str">
        <f>"KRTAP4-9"</f>
        <v>KRTAP4-9</v>
      </c>
      <c r="B8570" t="s">
        <v>4</v>
      </c>
    </row>
    <row r="8571" spans="1:2" x14ac:dyDescent="0.2">
      <c r="A8571" t="str">
        <f>"KRTAP5-1"</f>
        <v>KRTAP5-1</v>
      </c>
      <c r="B8571" t="s">
        <v>8</v>
      </c>
    </row>
    <row r="8572" spans="1:2" x14ac:dyDescent="0.2">
      <c r="A8572" t="str">
        <f>"KRTAP5-11"</f>
        <v>KRTAP5-11</v>
      </c>
      <c r="B8572" t="s">
        <v>4</v>
      </c>
    </row>
    <row r="8573" spans="1:2" x14ac:dyDescent="0.2">
      <c r="A8573" t="str">
        <f>"KRTAP5-3"</f>
        <v>KRTAP5-3</v>
      </c>
      <c r="B8573" t="s">
        <v>7</v>
      </c>
    </row>
    <row r="8574" spans="1:2" x14ac:dyDescent="0.2">
      <c r="A8574" t="str">
        <f>"KRTAP5-5"</f>
        <v>KRTAP5-5</v>
      </c>
      <c r="B8574" t="s">
        <v>4</v>
      </c>
    </row>
    <row r="8575" spans="1:2" x14ac:dyDescent="0.2">
      <c r="A8575" t="str">
        <f>"KRTAP5-6"</f>
        <v>KRTAP5-6</v>
      </c>
      <c r="B8575" t="s">
        <v>4</v>
      </c>
    </row>
    <row r="8576" spans="1:2" x14ac:dyDescent="0.2">
      <c r="A8576" t="str">
        <f>"KRTAP5-9"</f>
        <v>KRTAP5-9</v>
      </c>
      <c r="B8576" t="s">
        <v>8</v>
      </c>
    </row>
    <row r="8577" spans="1:2" x14ac:dyDescent="0.2">
      <c r="A8577" t="str">
        <f>"KRTAP6-1"</f>
        <v>KRTAP6-1</v>
      </c>
      <c r="B8577" t="s">
        <v>4</v>
      </c>
    </row>
    <row r="8578" spans="1:2" x14ac:dyDescent="0.2">
      <c r="A8578" t="str">
        <f>"KRTAP6-2"</f>
        <v>KRTAP6-2</v>
      </c>
      <c r="B8578" t="s">
        <v>6</v>
      </c>
    </row>
    <row r="8579" spans="1:2" x14ac:dyDescent="0.2">
      <c r="A8579" t="str">
        <f>"KRTAP6-3"</f>
        <v>KRTAP6-3</v>
      </c>
      <c r="B8579" t="s">
        <v>4</v>
      </c>
    </row>
    <row r="8580" spans="1:2" x14ac:dyDescent="0.2">
      <c r="A8580" t="str">
        <f>"KRTAP7-1"</f>
        <v>KRTAP7-1</v>
      </c>
      <c r="B8580" t="s">
        <v>4</v>
      </c>
    </row>
    <row r="8581" spans="1:2" x14ac:dyDescent="0.2">
      <c r="A8581" t="str">
        <f>"KRTAP8-1"</f>
        <v>KRTAP8-1</v>
      </c>
      <c r="B8581" t="s">
        <v>4</v>
      </c>
    </row>
    <row r="8582" spans="1:2" x14ac:dyDescent="0.2">
      <c r="A8582" t="str">
        <f>"KRTAP9-1"</f>
        <v>KRTAP9-1</v>
      </c>
      <c r="B8582" t="s">
        <v>4</v>
      </c>
    </row>
    <row r="8583" spans="1:2" x14ac:dyDescent="0.2">
      <c r="A8583" t="str">
        <f>"KRTAP9-6"</f>
        <v>KRTAP9-6</v>
      </c>
      <c r="B8583" t="s">
        <v>4</v>
      </c>
    </row>
    <row r="8584" spans="1:2" x14ac:dyDescent="0.2">
      <c r="A8584" t="str">
        <f>"KRTCAP2"</f>
        <v>KRTCAP2</v>
      </c>
      <c r="B8584" t="s">
        <v>2</v>
      </c>
    </row>
    <row r="8585" spans="1:2" x14ac:dyDescent="0.2">
      <c r="A8585" t="str">
        <f>"KRTCAP3"</f>
        <v>KRTCAP3</v>
      </c>
      <c r="B8585" t="s">
        <v>5</v>
      </c>
    </row>
    <row r="8586" spans="1:2" x14ac:dyDescent="0.2">
      <c r="A8586" t="str">
        <f>"KRTDAP"</f>
        <v>KRTDAP</v>
      </c>
      <c r="B8586" t="s">
        <v>4</v>
      </c>
    </row>
    <row r="8587" spans="1:2" x14ac:dyDescent="0.2">
      <c r="A8587" t="str">
        <f>"KSR1"</f>
        <v>KSR1</v>
      </c>
      <c r="B8587" t="s">
        <v>7</v>
      </c>
    </row>
    <row r="8588" spans="1:2" x14ac:dyDescent="0.2">
      <c r="A8588" t="str">
        <f>"KSR2"</f>
        <v>KSR2</v>
      </c>
      <c r="B8588" t="s">
        <v>7</v>
      </c>
    </row>
    <row r="8589" spans="1:2" x14ac:dyDescent="0.2">
      <c r="A8589" t="str">
        <f>"KTI12"</f>
        <v>KTI12</v>
      </c>
      <c r="B8589" t="s">
        <v>2</v>
      </c>
    </row>
    <row r="8590" spans="1:2" x14ac:dyDescent="0.2">
      <c r="A8590" t="str">
        <f>"KTN1"</f>
        <v>KTN1</v>
      </c>
      <c r="B8590" t="s">
        <v>3</v>
      </c>
    </row>
    <row r="8591" spans="1:2" x14ac:dyDescent="0.2">
      <c r="A8591" t="str">
        <f>"KXD1"</f>
        <v>KXD1</v>
      </c>
      <c r="B8591" t="s">
        <v>6</v>
      </c>
    </row>
    <row r="8592" spans="1:2" x14ac:dyDescent="0.2">
      <c r="A8592" t="str">
        <f>"KY"</f>
        <v>KY</v>
      </c>
      <c r="B8592" t="s">
        <v>6</v>
      </c>
    </row>
    <row r="8593" spans="1:2" x14ac:dyDescent="0.2">
      <c r="A8593" t="str">
        <f>"KYNU"</f>
        <v>KYNU</v>
      </c>
      <c r="B8593" t="s">
        <v>7</v>
      </c>
    </row>
    <row r="8594" spans="1:2" x14ac:dyDescent="0.2">
      <c r="A8594" t="str">
        <f>"L1CAM"</f>
        <v>L1CAM</v>
      </c>
      <c r="B8594" t="s">
        <v>3</v>
      </c>
    </row>
    <row r="8595" spans="1:2" x14ac:dyDescent="0.2">
      <c r="A8595" t="str">
        <f>"L1TD1"</f>
        <v>L1TD1</v>
      </c>
      <c r="B8595" t="s">
        <v>4</v>
      </c>
    </row>
    <row r="8596" spans="1:2" x14ac:dyDescent="0.2">
      <c r="A8596" t="str">
        <f>"L2HGDH"</f>
        <v>L2HGDH</v>
      </c>
      <c r="B8596" t="s">
        <v>6</v>
      </c>
    </row>
    <row r="8597" spans="1:2" x14ac:dyDescent="0.2">
      <c r="A8597" t="str">
        <f>"L3HYPDH"</f>
        <v>L3HYPDH</v>
      </c>
      <c r="B8597" t="s">
        <v>3</v>
      </c>
    </row>
    <row r="8598" spans="1:2" x14ac:dyDescent="0.2">
      <c r="A8598" t="str">
        <f>"L3MBTL1"</f>
        <v>L3MBTL1</v>
      </c>
      <c r="B8598" t="s">
        <v>7</v>
      </c>
    </row>
    <row r="8599" spans="1:2" x14ac:dyDescent="0.2">
      <c r="A8599" t="str">
        <f>"L3MBTL2"</f>
        <v>L3MBTL2</v>
      </c>
      <c r="B8599" t="s">
        <v>8</v>
      </c>
    </row>
    <row r="8600" spans="1:2" x14ac:dyDescent="0.2">
      <c r="A8600" t="str">
        <f>"L3MBTL3"</f>
        <v>L3MBTL3</v>
      </c>
      <c r="B8600" t="s">
        <v>6</v>
      </c>
    </row>
    <row r="8601" spans="1:2" x14ac:dyDescent="0.2">
      <c r="A8601" t="str">
        <f>"L3MBTL4"</f>
        <v>L3MBTL4</v>
      </c>
      <c r="B8601" t="s">
        <v>3</v>
      </c>
    </row>
    <row r="8602" spans="1:2" x14ac:dyDescent="0.2">
      <c r="A8602" t="str">
        <f>"LACC1"</f>
        <v>LACC1</v>
      </c>
      <c r="B8602" t="s">
        <v>4</v>
      </c>
    </row>
    <row r="8603" spans="1:2" x14ac:dyDescent="0.2">
      <c r="A8603" t="str">
        <f>"LACE1"</f>
        <v>LACE1</v>
      </c>
      <c r="B8603" t="s">
        <v>6</v>
      </c>
    </row>
    <row r="8604" spans="1:2" x14ac:dyDescent="0.2">
      <c r="A8604" t="str">
        <f>"LACRT"</f>
        <v>LACRT</v>
      </c>
      <c r="B8604" t="s">
        <v>4</v>
      </c>
    </row>
    <row r="8605" spans="1:2" x14ac:dyDescent="0.2">
      <c r="A8605" t="str">
        <f>"LACTB"</f>
        <v>LACTB</v>
      </c>
      <c r="B8605" t="s">
        <v>6</v>
      </c>
    </row>
    <row r="8606" spans="1:2" x14ac:dyDescent="0.2">
      <c r="A8606" t="str">
        <f>"LACTB2"</f>
        <v>LACTB2</v>
      </c>
      <c r="B8606" t="s">
        <v>2</v>
      </c>
    </row>
    <row r="8607" spans="1:2" x14ac:dyDescent="0.2">
      <c r="A8607" t="str">
        <f>"LACTBL1"</f>
        <v>LACTBL1</v>
      </c>
      <c r="B8607" t="s">
        <v>5</v>
      </c>
    </row>
    <row r="8608" spans="1:2" x14ac:dyDescent="0.2">
      <c r="A8608" t="str">
        <f>"LAD1"</f>
        <v>LAD1</v>
      </c>
      <c r="B8608" t="s">
        <v>4</v>
      </c>
    </row>
    <row r="8609" spans="1:2" x14ac:dyDescent="0.2">
      <c r="A8609" t="str">
        <f>"LAG3"</f>
        <v>LAG3</v>
      </c>
      <c r="B8609" t="s">
        <v>5</v>
      </c>
    </row>
    <row r="8610" spans="1:2" x14ac:dyDescent="0.2">
      <c r="A8610" t="str">
        <f>"LAGE3"</f>
        <v>LAGE3</v>
      </c>
      <c r="B8610" t="s">
        <v>4</v>
      </c>
    </row>
    <row r="8611" spans="1:2" x14ac:dyDescent="0.2">
      <c r="A8611" t="str">
        <f>"LAIR1"</f>
        <v>LAIR1</v>
      </c>
      <c r="B8611" t="s">
        <v>5</v>
      </c>
    </row>
    <row r="8612" spans="1:2" x14ac:dyDescent="0.2">
      <c r="A8612" t="str">
        <f>"LAIR2"</f>
        <v>LAIR2</v>
      </c>
      <c r="B8612" t="s">
        <v>4</v>
      </c>
    </row>
    <row r="8613" spans="1:2" x14ac:dyDescent="0.2">
      <c r="A8613" t="str">
        <f>"LALBA"</f>
        <v>LALBA</v>
      </c>
      <c r="B8613" t="s">
        <v>7</v>
      </c>
    </row>
    <row r="8614" spans="1:2" x14ac:dyDescent="0.2">
      <c r="A8614" t="str">
        <f>"LAMA1"</f>
        <v>LAMA1</v>
      </c>
      <c r="B8614" t="s">
        <v>3</v>
      </c>
    </row>
    <row r="8615" spans="1:2" x14ac:dyDescent="0.2">
      <c r="A8615" t="str">
        <f>"LAMA2"</f>
        <v>LAMA2</v>
      </c>
      <c r="B8615" t="s">
        <v>3</v>
      </c>
    </row>
    <row r="8616" spans="1:2" x14ac:dyDescent="0.2">
      <c r="A8616" t="str">
        <f>"LAMA3"</f>
        <v>LAMA3</v>
      </c>
      <c r="B8616" t="s">
        <v>3</v>
      </c>
    </row>
    <row r="8617" spans="1:2" x14ac:dyDescent="0.2">
      <c r="A8617" t="str">
        <f>"LAMA4"</f>
        <v>LAMA4</v>
      </c>
      <c r="B8617" t="s">
        <v>3</v>
      </c>
    </row>
    <row r="8618" spans="1:2" x14ac:dyDescent="0.2">
      <c r="A8618" t="str">
        <f>"LAMA5"</f>
        <v>LAMA5</v>
      </c>
      <c r="B8618" t="s">
        <v>3</v>
      </c>
    </row>
    <row r="8619" spans="1:2" x14ac:dyDescent="0.2">
      <c r="A8619" t="str">
        <f>"LAMB1"</f>
        <v>LAMB1</v>
      </c>
      <c r="B8619" t="s">
        <v>3</v>
      </c>
    </row>
    <row r="8620" spans="1:2" x14ac:dyDescent="0.2">
      <c r="A8620" t="str">
        <f>"LAMB2"</f>
        <v>LAMB2</v>
      </c>
      <c r="B8620" t="s">
        <v>6</v>
      </c>
    </row>
    <row r="8621" spans="1:2" x14ac:dyDescent="0.2">
      <c r="A8621" t="str">
        <f>"LAMB3"</f>
        <v>LAMB3</v>
      </c>
      <c r="B8621" t="s">
        <v>3</v>
      </c>
    </row>
    <row r="8622" spans="1:2" x14ac:dyDescent="0.2">
      <c r="A8622" t="str">
        <f>"LAMB4"</f>
        <v>LAMB4</v>
      </c>
      <c r="B8622" t="s">
        <v>3</v>
      </c>
    </row>
    <row r="8623" spans="1:2" x14ac:dyDescent="0.2">
      <c r="A8623" t="str">
        <f>"LAMC1"</f>
        <v>LAMC1</v>
      </c>
      <c r="B8623" t="s">
        <v>3</v>
      </c>
    </row>
    <row r="8624" spans="1:2" x14ac:dyDescent="0.2">
      <c r="A8624" t="str">
        <f>"LAMC2"</f>
        <v>LAMC2</v>
      </c>
      <c r="B8624" t="s">
        <v>4</v>
      </c>
    </row>
    <row r="8625" spans="1:2" x14ac:dyDescent="0.2">
      <c r="A8625" t="str">
        <f>"LAMC3"</f>
        <v>LAMC3</v>
      </c>
      <c r="B8625" t="s">
        <v>3</v>
      </c>
    </row>
    <row r="8626" spans="1:2" x14ac:dyDescent="0.2">
      <c r="A8626" t="str">
        <f>"LAMP1"</f>
        <v>LAMP1</v>
      </c>
      <c r="B8626" t="s">
        <v>3</v>
      </c>
    </row>
    <row r="8627" spans="1:2" x14ac:dyDescent="0.2">
      <c r="A8627" t="str">
        <f>"LAMP2"</f>
        <v>LAMP2</v>
      </c>
      <c r="B8627" t="s">
        <v>2</v>
      </c>
    </row>
    <row r="8628" spans="1:2" x14ac:dyDescent="0.2">
      <c r="A8628" t="str">
        <f>"LAMP3"</f>
        <v>LAMP3</v>
      </c>
      <c r="B8628" t="s">
        <v>2</v>
      </c>
    </row>
    <row r="8629" spans="1:2" x14ac:dyDescent="0.2">
      <c r="A8629" t="str">
        <f>"LAMP5"</f>
        <v>LAMP5</v>
      </c>
      <c r="B8629" t="s">
        <v>5</v>
      </c>
    </row>
    <row r="8630" spans="1:2" x14ac:dyDescent="0.2">
      <c r="A8630" t="str">
        <f>"LAMTOR1"</f>
        <v>LAMTOR1</v>
      </c>
      <c r="B8630" t="s">
        <v>6</v>
      </c>
    </row>
    <row r="8631" spans="1:2" x14ac:dyDescent="0.2">
      <c r="A8631" t="str">
        <f>"LAMTOR2"</f>
        <v>LAMTOR2</v>
      </c>
      <c r="B8631" t="s">
        <v>2</v>
      </c>
    </row>
    <row r="8632" spans="1:2" x14ac:dyDescent="0.2">
      <c r="A8632" t="str">
        <f>"LAMTOR3"</f>
        <v>LAMTOR3</v>
      </c>
      <c r="B8632" t="s">
        <v>7</v>
      </c>
    </row>
    <row r="8633" spans="1:2" x14ac:dyDescent="0.2">
      <c r="A8633" t="str">
        <f>"LAMTOR4"</f>
        <v>LAMTOR4</v>
      </c>
      <c r="B8633" t="s">
        <v>3</v>
      </c>
    </row>
    <row r="8634" spans="1:2" x14ac:dyDescent="0.2">
      <c r="A8634" t="str">
        <f>"LAMTOR5"</f>
        <v>LAMTOR5</v>
      </c>
      <c r="B8634" t="s">
        <v>3</v>
      </c>
    </row>
    <row r="8635" spans="1:2" x14ac:dyDescent="0.2">
      <c r="A8635" t="str">
        <f>"LANCL1"</f>
        <v>LANCL1</v>
      </c>
      <c r="B8635" t="s">
        <v>5</v>
      </c>
    </row>
    <row r="8636" spans="1:2" x14ac:dyDescent="0.2">
      <c r="A8636" t="str">
        <f>"LANCL2"</f>
        <v>LANCL2</v>
      </c>
      <c r="B8636" t="s">
        <v>3</v>
      </c>
    </row>
    <row r="8637" spans="1:2" x14ac:dyDescent="0.2">
      <c r="A8637" t="str">
        <f>"LANCL3"</f>
        <v>LANCL3</v>
      </c>
      <c r="B8637" t="s">
        <v>4</v>
      </c>
    </row>
    <row r="8638" spans="1:2" x14ac:dyDescent="0.2">
      <c r="A8638" t="str">
        <f>"LAP3"</f>
        <v>LAP3</v>
      </c>
      <c r="B8638" t="s">
        <v>7</v>
      </c>
    </row>
    <row r="8639" spans="1:2" x14ac:dyDescent="0.2">
      <c r="A8639" t="str">
        <f>"LAPTM4A"</f>
        <v>LAPTM4A</v>
      </c>
      <c r="B8639" t="s">
        <v>2</v>
      </c>
    </row>
    <row r="8640" spans="1:2" x14ac:dyDescent="0.2">
      <c r="A8640" t="str">
        <f>"LAPTM4B"</f>
        <v>LAPTM4B</v>
      </c>
      <c r="B8640" t="s">
        <v>5</v>
      </c>
    </row>
    <row r="8641" spans="1:2" x14ac:dyDescent="0.2">
      <c r="A8641" t="str">
        <f>"LAPTM5"</f>
        <v>LAPTM5</v>
      </c>
      <c r="B8641" t="s">
        <v>2</v>
      </c>
    </row>
    <row r="8642" spans="1:2" x14ac:dyDescent="0.2">
      <c r="A8642" t="str">
        <f>"LARGE"</f>
        <v>LARGE</v>
      </c>
      <c r="B8642" t="s">
        <v>5</v>
      </c>
    </row>
    <row r="8643" spans="1:2" x14ac:dyDescent="0.2">
      <c r="A8643" t="str">
        <f>"LARP1"</f>
        <v>LARP1</v>
      </c>
      <c r="B8643" t="s">
        <v>8</v>
      </c>
    </row>
    <row r="8644" spans="1:2" x14ac:dyDescent="0.2">
      <c r="A8644" t="str">
        <f>"LARP1B"</f>
        <v>LARP1B</v>
      </c>
      <c r="B8644" t="s">
        <v>8</v>
      </c>
    </row>
    <row r="8645" spans="1:2" x14ac:dyDescent="0.2">
      <c r="A8645" t="str">
        <f>"LARP4"</f>
        <v>LARP4</v>
      </c>
      <c r="B8645" t="s">
        <v>8</v>
      </c>
    </row>
    <row r="8646" spans="1:2" x14ac:dyDescent="0.2">
      <c r="A8646" t="str">
        <f>"LARP4B"</f>
        <v>LARP4B</v>
      </c>
      <c r="B8646" t="s">
        <v>8</v>
      </c>
    </row>
    <row r="8647" spans="1:2" x14ac:dyDescent="0.2">
      <c r="A8647" t="str">
        <f>"LARP6"</f>
        <v>LARP6</v>
      </c>
      <c r="B8647" t="s">
        <v>8</v>
      </c>
    </row>
    <row r="8648" spans="1:2" x14ac:dyDescent="0.2">
      <c r="A8648" t="str">
        <f>"LARP7"</f>
        <v>LARP7</v>
      </c>
      <c r="B8648" t="s">
        <v>8</v>
      </c>
    </row>
    <row r="8649" spans="1:2" x14ac:dyDescent="0.2">
      <c r="A8649" t="str">
        <f>"LARS"</f>
        <v>LARS</v>
      </c>
      <c r="B8649" t="s">
        <v>7</v>
      </c>
    </row>
    <row r="8650" spans="1:2" x14ac:dyDescent="0.2">
      <c r="A8650" t="str">
        <f>"LARS2"</f>
        <v>LARS2</v>
      </c>
      <c r="B8650" t="s">
        <v>7</v>
      </c>
    </row>
    <row r="8651" spans="1:2" x14ac:dyDescent="0.2">
      <c r="A8651" t="str">
        <f>"LAS1L"</f>
        <v>LAS1L</v>
      </c>
      <c r="B8651" t="s">
        <v>4</v>
      </c>
    </row>
    <row r="8652" spans="1:2" x14ac:dyDescent="0.2">
      <c r="A8652" t="str">
        <f>"LASP1"</f>
        <v>LASP1</v>
      </c>
      <c r="B8652" t="s">
        <v>3</v>
      </c>
    </row>
    <row r="8653" spans="1:2" x14ac:dyDescent="0.2">
      <c r="A8653" t="str">
        <f>"LAT"</f>
        <v>LAT</v>
      </c>
      <c r="B8653" t="s">
        <v>7</v>
      </c>
    </row>
    <row r="8654" spans="1:2" x14ac:dyDescent="0.2">
      <c r="A8654" t="str">
        <f>"LAT2"</f>
        <v>LAT2</v>
      </c>
      <c r="B8654" t="s">
        <v>6</v>
      </c>
    </row>
    <row r="8655" spans="1:2" x14ac:dyDescent="0.2">
      <c r="A8655" t="str">
        <f>"LATS1"</f>
        <v>LATS1</v>
      </c>
      <c r="B8655" t="s">
        <v>7</v>
      </c>
    </row>
    <row r="8656" spans="1:2" x14ac:dyDescent="0.2">
      <c r="A8656" t="str">
        <f>"LATS2"</f>
        <v>LATS2</v>
      </c>
      <c r="B8656" t="s">
        <v>7</v>
      </c>
    </row>
    <row r="8657" spans="1:2" x14ac:dyDescent="0.2">
      <c r="A8657" t="str">
        <f>"LAX1"</f>
        <v>LAX1</v>
      </c>
      <c r="B8657" t="s">
        <v>6</v>
      </c>
    </row>
    <row r="8658" spans="1:2" x14ac:dyDescent="0.2">
      <c r="A8658" t="str">
        <f>"LAYN"</f>
        <v>LAYN</v>
      </c>
      <c r="B8658" t="s">
        <v>6</v>
      </c>
    </row>
    <row r="8659" spans="1:2" x14ac:dyDescent="0.2">
      <c r="A8659" t="str">
        <f>"LBH"</f>
        <v>LBH</v>
      </c>
      <c r="B8659" t="s">
        <v>8</v>
      </c>
    </row>
    <row r="8660" spans="1:2" x14ac:dyDescent="0.2">
      <c r="A8660" t="str">
        <f>"LBP"</f>
        <v>LBP</v>
      </c>
      <c r="B8660" t="s">
        <v>2</v>
      </c>
    </row>
    <row r="8661" spans="1:2" x14ac:dyDescent="0.2">
      <c r="A8661" t="str">
        <f>"LBR"</f>
        <v>LBR</v>
      </c>
      <c r="B8661" t="s">
        <v>2</v>
      </c>
    </row>
    <row r="8662" spans="1:2" x14ac:dyDescent="0.2">
      <c r="A8662" t="str">
        <f>"LBX1"</f>
        <v>LBX1</v>
      </c>
      <c r="B8662" t="s">
        <v>8</v>
      </c>
    </row>
    <row r="8663" spans="1:2" x14ac:dyDescent="0.2">
      <c r="A8663" t="str">
        <f>"LBX2"</f>
        <v>LBX2</v>
      </c>
      <c r="B8663" t="s">
        <v>8</v>
      </c>
    </row>
    <row r="8664" spans="1:2" x14ac:dyDescent="0.2">
      <c r="A8664" t="str">
        <f>"LCA5"</f>
        <v>LCA5</v>
      </c>
      <c r="B8664" t="s">
        <v>4</v>
      </c>
    </row>
    <row r="8665" spans="1:2" x14ac:dyDescent="0.2">
      <c r="A8665" t="str">
        <f>"LCA5L"</f>
        <v>LCA5L</v>
      </c>
      <c r="B8665" t="s">
        <v>4</v>
      </c>
    </row>
    <row r="8666" spans="1:2" x14ac:dyDescent="0.2">
      <c r="A8666" t="str">
        <f>"LCAT"</f>
        <v>LCAT</v>
      </c>
      <c r="B8666" t="s">
        <v>2</v>
      </c>
    </row>
    <row r="8667" spans="1:2" x14ac:dyDescent="0.2">
      <c r="A8667" t="str">
        <f>"LCE1A"</f>
        <v>LCE1A</v>
      </c>
      <c r="B8667" t="s">
        <v>4</v>
      </c>
    </row>
    <row r="8668" spans="1:2" x14ac:dyDescent="0.2">
      <c r="A8668" t="str">
        <f>"LCE1B"</f>
        <v>LCE1B</v>
      </c>
      <c r="B8668" t="s">
        <v>4</v>
      </c>
    </row>
    <row r="8669" spans="1:2" x14ac:dyDescent="0.2">
      <c r="A8669" t="str">
        <f>"LCE1C"</f>
        <v>LCE1C</v>
      </c>
      <c r="B8669" t="s">
        <v>4</v>
      </c>
    </row>
    <row r="8670" spans="1:2" x14ac:dyDescent="0.2">
      <c r="A8670" t="str">
        <f>"LCE1D"</f>
        <v>LCE1D</v>
      </c>
      <c r="B8670" t="s">
        <v>4</v>
      </c>
    </row>
    <row r="8671" spans="1:2" x14ac:dyDescent="0.2">
      <c r="A8671" t="str">
        <f>"LCE1E"</f>
        <v>LCE1E</v>
      </c>
      <c r="B8671" t="s">
        <v>4</v>
      </c>
    </row>
    <row r="8672" spans="1:2" x14ac:dyDescent="0.2">
      <c r="A8672" t="str">
        <f>"LCE1F"</f>
        <v>LCE1F</v>
      </c>
      <c r="B8672" t="s">
        <v>4</v>
      </c>
    </row>
    <row r="8673" spans="1:2" x14ac:dyDescent="0.2">
      <c r="A8673" t="str">
        <f>"LCE2A"</f>
        <v>LCE2A</v>
      </c>
      <c r="B8673" t="s">
        <v>4</v>
      </c>
    </row>
    <row r="8674" spans="1:2" x14ac:dyDescent="0.2">
      <c r="A8674" t="str">
        <f>"LCE2B"</f>
        <v>LCE2B</v>
      </c>
      <c r="B8674" t="s">
        <v>4</v>
      </c>
    </row>
    <row r="8675" spans="1:2" x14ac:dyDescent="0.2">
      <c r="A8675" t="str">
        <f>"LCE2C"</f>
        <v>LCE2C</v>
      </c>
      <c r="B8675" t="s">
        <v>4</v>
      </c>
    </row>
    <row r="8676" spans="1:2" x14ac:dyDescent="0.2">
      <c r="A8676" t="str">
        <f>"LCE2D"</f>
        <v>LCE2D</v>
      </c>
      <c r="B8676" t="s">
        <v>4</v>
      </c>
    </row>
    <row r="8677" spans="1:2" x14ac:dyDescent="0.2">
      <c r="A8677" t="str">
        <f>"LCE3A"</f>
        <v>LCE3A</v>
      </c>
      <c r="B8677" t="s">
        <v>4</v>
      </c>
    </row>
    <row r="8678" spans="1:2" x14ac:dyDescent="0.2">
      <c r="A8678" t="str">
        <f>"LCE3B"</f>
        <v>LCE3B</v>
      </c>
      <c r="B8678" t="s">
        <v>2</v>
      </c>
    </row>
    <row r="8679" spans="1:2" x14ac:dyDescent="0.2">
      <c r="A8679" t="str">
        <f>"LCE3C"</f>
        <v>LCE3C</v>
      </c>
      <c r="B8679" t="s">
        <v>4</v>
      </c>
    </row>
    <row r="8680" spans="1:2" x14ac:dyDescent="0.2">
      <c r="A8680" t="str">
        <f>"LCE3D"</f>
        <v>LCE3D</v>
      </c>
      <c r="B8680" t="s">
        <v>4</v>
      </c>
    </row>
    <row r="8681" spans="1:2" x14ac:dyDescent="0.2">
      <c r="A8681" t="str">
        <f>"LCE3E"</f>
        <v>LCE3E</v>
      </c>
      <c r="B8681" t="s">
        <v>4</v>
      </c>
    </row>
    <row r="8682" spans="1:2" x14ac:dyDescent="0.2">
      <c r="A8682" t="str">
        <f>"LCE4A"</f>
        <v>LCE4A</v>
      </c>
      <c r="B8682" t="s">
        <v>4</v>
      </c>
    </row>
    <row r="8683" spans="1:2" x14ac:dyDescent="0.2">
      <c r="A8683" t="str">
        <f>"LCE5A"</f>
        <v>LCE5A</v>
      </c>
      <c r="B8683" t="s">
        <v>4</v>
      </c>
    </row>
    <row r="8684" spans="1:2" x14ac:dyDescent="0.2">
      <c r="A8684" t="str">
        <f>"LCE6A"</f>
        <v>LCE6A</v>
      </c>
      <c r="B8684" t="s">
        <v>4</v>
      </c>
    </row>
    <row r="8685" spans="1:2" x14ac:dyDescent="0.2">
      <c r="A8685" t="str">
        <f>"LCK"</f>
        <v>LCK</v>
      </c>
      <c r="B8685" t="s">
        <v>7</v>
      </c>
    </row>
    <row r="8686" spans="1:2" x14ac:dyDescent="0.2">
      <c r="A8686" t="str">
        <f>"LCLAT1"</f>
        <v>LCLAT1</v>
      </c>
      <c r="B8686" t="s">
        <v>2</v>
      </c>
    </row>
    <row r="8687" spans="1:2" x14ac:dyDescent="0.2">
      <c r="A8687" t="str">
        <f>"LCMT1"</f>
        <v>LCMT1</v>
      </c>
      <c r="B8687" t="s">
        <v>7</v>
      </c>
    </row>
    <row r="8688" spans="1:2" x14ac:dyDescent="0.2">
      <c r="A8688" t="str">
        <f>"LCMT2"</f>
        <v>LCMT2</v>
      </c>
      <c r="B8688" t="s">
        <v>7</v>
      </c>
    </row>
    <row r="8689" spans="1:2" x14ac:dyDescent="0.2">
      <c r="A8689" t="str">
        <f>"LCN1"</f>
        <v>LCN1</v>
      </c>
      <c r="B8689" t="s">
        <v>2</v>
      </c>
    </row>
    <row r="8690" spans="1:2" x14ac:dyDescent="0.2">
      <c r="A8690" t="str">
        <f>"LCN10"</f>
        <v>LCN10</v>
      </c>
      <c r="B8690" t="s">
        <v>4</v>
      </c>
    </row>
    <row r="8691" spans="1:2" x14ac:dyDescent="0.2">
      <c r="A8691" t="str">
        <f>"LCN12"</f>
        <v>LCN12</v>
      </c>
      <c r="B8691" t="s">
        <v>2</v>
      </c>
    </row>
    <row r="8692" spans="1:2" x14ac:dyDescent="0.2">
      <c r="A8692" t="str">
        <f>"LCN15"</f>
        <v>LCN15</v>
      </c>
      <c r="B8692" t="s">
        <v>2</v>
      </c>
    </row>
    <row r="8693" spans="1:2" x14ac:dyDescent="0.2">
      <c r="A8693" t="str">
        <f>"LCN2"</f>
        <v>LCN2</v>
      </c>
      <c r="B8693" t="s">
        <v>7</v>
      </c>
    </row>
    <row r="8694" spans="1:2" x14ac:dyDescent="0.2">
      <c r="A8694" t="str">
        <f>"LCN6"</f>
        <v>LCN6</v>
      </c>
      <c r="B8694" t="s">
        <v>2</v>
      </c>
    </row>
    <row r="8695" spans="1:2" x14ac:dyDescent="0.2">
      <c r="A8695" t="str">
        <f>"LCN8"</f>
        <v>LCN8</v>
      </c>
      <c r="B8695" t="s">
        <v>2</v>
      </c>
    </row>
    <row r="8696" spans="1:2" x14ac:dyDescent="0.2">
      <c r="A8696" t="str">
        <f>"LCN9"</f>
        <v>LCN9</v>
      </c>
      <c r="B8696" t="s">
        <v>7</v>
      </c>
    </row>
    <row r="8697" spans="1:2" x14ac:dyDescent="0.2">
      <c r="A8697" t="str">
        <f>"LCNL1"</f>
        <v>LCNL1</v>
      </c>
      <c r="B8697" t="s">
        <v>4</v>
      </c>
    </row>
    <row r="8698" spans="1:2" x14ac:dyDescent="0.2">
      <c r="A8698" t="str">
        <f>"LCOR"</f>
        <v>LCOR</v>
      </c>
      <c r="B8698" t="s">
        <v>8</v>
      </c>
    </row>
    <row r="8699" spans="1:2" x14ac:dyDescent="0.2">
      <c r="A8699" t="str">
        <f>"LCORL"</f>
        <v>LCORL</v>
      </c>
      <c r="B8699" t="s">
        <v>8</v>
      </c>
    </row>
    <row r="8700" spans="1:2" x14ac:dyDescent="0.2">
      <c r="A8700" t="str">
        <f>"LCP1"</f>
        <v>LCP1</v>
      </c>
      <c r="B8700" t="s">
        <v>3</v>
      </c>
    </row>
    <row r="8701" spans="1:2" x14ac:dyDescent="0.2">
      <c r="A8701" t="str">
        <f>"LCP2"</f>
        <v>LCP2</v>
      </c>
      <c r="B8701" t="s">
        <v>4</v>
      </c>
    </row>
    <row r="8702" spans="1:2" x14ac:dyDescent="0.2">
      <c r="A8702" t="str">
        <f>"LCT"</f>
        <v>LCT</v>
      </c>
      <c r="B8702" t="s">
        <v>7</v>
      </c>
    </row>
    <row r="8703" spans="1:2" x14ac:dyDescent="0.2">
      <c r="A8703" t="str">
        <f>"LCTL"</f>
        <v>LCTL</v>
      </c>
      <c r="B8703" t="s">
        <v>7</v>
      </c>
    </row>
    <row r="8704" spans="1:2" x14ac:dyDescent="0.2">
      <c r="A8704" t="str">
        <f>"LDB1"</f>
        <v>LDB1</v>
      </c>
      <c r="B8704" t="s">
        <v>8</v>
      </c>
    </row>
    <row r="8705" spans="1:2" x14ac:dyDescent="0.2">
      <c r="A8705" t="str">
        <f>"LDB2"</f>
        <v>LDB2</v>
      </c>
      <c r="B8705" t="s">
        <v>8</v>
      </c>
    </row>
    <row r="8706" spans="1:2" x14ac:dyDescent="0.2">
      <c r="A8706" t="str">
        <f>"LDB3"</f>
        <v>LDB3</v>
      </c>
      <c r="B8706" t="s">
        <v>6</v>
      </c>
    </row>
    <row r="8707" spans="1:2" x14ac:dyDescent="0.2">
      <c r="A8707" t="str">
        <f>"LDHA"</f>
        <v>LDHA</v>
      </c>
      <c r="B8707" t="s">
        <v>3</v>
      </c>
    </row>
    <row r="8708" spans="1:2" x14ac:dyDescent="0.2">
      <c r="A8708" t="str">
        <f>"LDHAL6A"</f>
        <v>LDHAL6A</v>
      </c>
      <c r="B8708" t="s">
        <v>7</v>
      </c>
    </row>
    <row r="8709" spans="1:2" x14ac:dyDescent="0.2">
      <c r="A8709" t="str">
        <f>"LDHAL6B"</f>
        <v>LDHAL6B</v>
      </c>
      <c r="B8709" t="s">
        <v>7</v>
      </c>
    </row>
    <row r="8710" spans="1:2" x14ac:dyDescent="0.2">
      <c r="A8710" t="str">
        <f>"LDHB"</f>
        <v>LDHB</v>
      </c>
      <c r="B8710" t="s">
        <v>3</v>
      </c>
    </row>
    <row r="8711" spans="1:2" x14ac:dyDescent="0.2">
      <c r="A8711" t="str">
        <f>"LDHC"</f>
        <v>LDHC</v>
      </c>
      <c r="B8711" t="s">
        <v>7</v>
      </c>
    </row>
    <row r="8712" spans="1:2" x14ac:dyDescent="0.2">
      <c r="A8712" t="str">
        <f>"LDHD"</f>
        <v>LDHD</v>
      </c>
      <c r="B8712" t="s">
        <v>6</v>
      </c>
    </row>
    <row r="8713" spans="1:2" x14ac:dyDescent="0.2">
      <c r="A8713" t="str">
        <f>"LDLR"</f>
        <v>LDLR</v>
      </c>
      <c r="B8713" t="s">
        <v>3</v>
      </c>
    </row>
    <row r="8714" spans="1:2" x14ac:dyDescent="0.2">
      <c r="A8714" t="str">
        <f>"LDLRAD1"</f>
        <v>LDLRAD1</v>
      </c>
      <c r="B8714" t="s">
        <v>5</v>
      </c>
    </row>
    <row r="8715" spans="1:2" x14ac:dyDescent="0.2">
      <c r="A8715" t="str">
        <f>"LDLRAD2"</f>
        <v>LDLRAD2</v>
      </c>
      <c r="B8715" t="s">
        <v>4</v>
      </c>
    </row>
    <row r="8716" spans="1:2" x14ac:dyDescent="0.2">
      <c r="A8716" t="str">
        <f>"LDLRAD3"</f>
        <v>LDLRAD3</v>
      </c>
      <c r="B8716" t="s">
        <v>5</v>
      </c>
    </row>
    <row r="8717" spans="1:2" x14ac:dyDescent="0.2">
      <c r="A8717" t="str">
        <f>"LDLRAD4"</f>
        <v>LDLRAD4</v>
      </c>
      <c r="B8717" t="s">
        <v>4</v>
      </c>
    </row>
    <row r="8718" spans="1:2" x14ac:dyDescent="0.2">
      <c r="A8718" t="str">
        <f>"LDLRAP1"</f>
        <v>LDLRAP1</v>
      </c>
      <c r="B8718" t="s">
        <v>2</v>
      </c>
    </row>
    <row r="8719" spans="1:2" x14ac:dyDescent="0.2">
      <c r="A8719" t="str">
        <f>"LDOC1"</f>
        <v>LDOC1</v>
      </c>
      <c r="B8719" t="s">
        <v>4</v>
      </c>
    </row>
    <row r="8720" spans="1:2" x14ac:dyDescent="0.2">
      <c r="A8720" t="str">
        <f>"LDOC1L"</f>
        <v>LDOC1L</v>
      </c>
      <c r="B8720" t="s">
        <v>3</v>
      </c>
    </row>
    <row r="8721" spans="1:2" x14ac:dyDescent="0.2">
      <c r="A8721" t="str">
        <f>"LEAP2"</f>
        <v>LEAP2</v>
      </c>
      <c r="B8721" t="s">
        <v>4</v>
      </c>
    </row>
    <row r="8722" spans="1:2" x14ac:dyDescent="0.2">
      <c r="A8722" t="str">
        <f>"LECT1"</f>
        <v>LECT1</v>
      </c>
      <c r="B8722" t="s">
        <v>5</v>
      </c>
    </row>
    <row r="8723" spans="1:2" x14ac:dyDescent="0.2">
      <c r="A8723" t="str">
        <f>"LECT2"</f>
        <v>LECT2</v>
      </c>
      <c r="B8723" t="s">
        <v>2</v>
      </c>
    </row>
    <row r="8724" spans="1:2" x14ac:dyDescent="0.2">
      <c r="A8724" t="str">
        <f>"LEF1"</f>
        <v>LEF1</v>
      </c>
      <c r="B8724" t="s">
        <v>3</v>
      </c>
    </row>
    <row r="8725" spans="1:2" x14ac:dyDescent="0.2">
      <c r="A8725" t="str">
        <f>"LEFTY1"</f>
        <v>LEFTY1</v>
      </c>
      <c r="B8725" t="s">
        <v>4</v>
      </c>
    </row>
    <row r="8726" spans="1:2" x14ac:dyDescent="0.2">
      <c r="A8726" t="str">
        <f>"LEFTY2"</f>
        <v>LEFTY2</v>
      </c>
      <c r="B8726" t="s">
        <v>2</v>
      </c>
    </row>
    <row r="8727" spans="1:2" x14ac:dyDescent="0.2">
      <c r="A8727" t="str">
        <f>"LEKR1"</f>
        <v>LEKR1</v>
      </c>
      <c r="B8727" t="s">
        <v>4</v>
      </c>
    </row>
    <row r="8728" spans="1:2" x14ac:dyDescent="0.2">
      <c r="A8728" t="str">
        <f>"LELP1"</f>
        <v>LELP1</v>
      </c>
      <c r="B8728" t="s">
        <v>4</v>
      </c>
    </row>
    <row r="8729" spans="1:2" x14ac:dyDescent="0.2">
      <c r="A8729" t="str">
        <f>"LEMD1"</f>
        <v>LEMD1</v>
      </c>
      <c r="B8729" t="s">
        <v>5</v>
      </c>
    </row>
    <row r="8730" spans="1:2" x14ac:dyDescent="0.2">
      <c r="A8730" t="str">
        <f>"LEMD2"</f>
        <v>LEMD2</v>
      </c>
      <c r="B8730" t="s">
        <v>5</v>
      </c>
    </row>
    <row r="8731" spans="1:2" x14ac:dyDescent="0.2">
      <c r="A8731" t="str">
        <f>"LEMD3"</f>
        <v>LEMD3</v>
      </c>
      <c r="B8731" t="s">
        <v>5</v>
      </c>
    </row>
    <row r="8732" spans="1:2" x14ac:dyDescent="0.2">
      <c r="A8732" t="str">
        <f>"LENEP"</f>
        <v>LENEP</v>
      </c>
      <c r="B8732" t="s">
        <v>8</v>
      </c>
    </row>
    <row r="8733" spans="1:2" x14ac:dyDescent="0.2">
      <c r="A8733" t="str">
        <f>"LENG1"</f>
        <v>LENG1</v>
      </c>
      <c r="B8733" t="s">
        <v>3</v>
      </c>
    </row>
    <row r="8734" spans="1:2" x14ac:dyDescent="0.2">
      <c r="A8734" t="str">
        <f>"LENG8"</f>
        <v>LENG8</v>
      </c>
      <c r="B8734" t="s">
        <v>4</v>
      </c>
    </row>
    <row r="8735" spans="1:2" x14ac:dyDescent="0.2">
      <c r="A8735" t="str">
        <f>"LENG9"</f>
        <v>LENG9</v>
      </c>
      <c r="B8735" t="s">
        <v>8</v>
      </c>
    </row>
    <row r="8736" spans="1:2" x14ac:dyDescent="0.2">
      <c r="A8736" t="str">
        <f>"LEO1"</f>
        <v>LEO1</v>
      </c>
      <c r="B8736" t="s">
        <v>8</v>
      </c>
    </row>
    <row r="8737" spans="1:2" x14ac:dyDescent="0.2">
      <c r="A8737" t="str">
        <f>"LEP"</f>
        <v>LEP</v>
      </c>
      <c r="B8737" t="s">
        <v>2</v>
      </c>
    </row>
    <row r="8738" spans="1:2" x14ac:dyDescent="0.2">
      <c r="A8738" t="str">
        <f>"LEPR"</f>
        <v>LEPR</v>
      </c>
      <c r="B8738" t="s">
        <v>5</v>
      </c>
    </row>
    <row r="8739" spans="1:2" x14ac:dyDescent="0.2">
      <c r="A8739" t="str">
        <f>"LEPRE1"</f>
        <v>LEPRE1</v>
      </c>
      <c r="B8739" t="s">
        <v>7</v>
      </c>
    </row>
    <row r="8740" spans="1:2" x14ac:dyDescent="0.2">
      <c r="A8740" t="str">
        <f>"LEPREL1"</f>
        <v>LEPREL1</v>
      </c>
      <c r="B8740" t="s">
        <v>7</v>
      </c>
    </row>
    <row r="8741" spans="1:2" x14ac:dyDescent="0.2">
      <c r="A8741" t="str">
        <f>"LEPREL2"</f>
        <v>LEPREL2</v>
      </c>
      <c r="B8741" t="s">
        <v>7</v>
      </c>
    </row>
    <row r="8742" spans="1:2" x14ac:dyDescent="0.2">
      <c r="A8742" t="str">
        <f>"LEPREL4"</f>
        <v>LEPREL4</v>
      </c>
      <c r="B8742" t="s">
        <v>8</v>
      </c>
    </row>
    <row r="8743" spans="1:2" x14ac:dyDescent="0.2">
      <c r="A8743" t="str">
        <f>"LEPROT"</f>
        <v>LEPROT</v>
      </c>
      <c r="B8743" t="s">
        <v>4</v>
      </c>
    </row>
    <row r="8744" spans="1:2" x14ac:dyDescent="0.2">
      <c r="A8744" t="str">
        <f>"LEPROTL1"</f>
        <v>LEPROTL1</v>
      </c>
      <c r="B8744" t="s">
        <v>4</v>
      </c>
    </row>
    <row r="8745" spans="1:2" x14ac:dyDescent="0.2">
      <c r="A8745" t="str">
        <f>"LETM1"</f>
        <v>LETM1</v>
      </c>
      <c r="B8745" t="s">
        <v>6</v>
      </c>
    </row>
    <row r="8746" spans="1:2" x14ac:dyDescent="0.2">
      <c r="A8746" t="str">
        <f>"LETM2"</f>
        <v>LETM2</v>
      </c>
      <c r="B8746" t="s">
        <v>6</v>
      </c>
    </row>
    <row r="8747" spans="1:2" x14ac:dyDescent="0.2">
      <c r="A8747" t="str">
        <f>"LETMD1"</f>
        <v>LETMD1</v>
      </c>
      <c r="B8747" t="s">
        <v>6</v>
      </c>
    </row>
    <row r="8748" spans="1:2" x14ac:dyDescent="0.2">
      <c r="A8748" t="str">
        <f>"LEUTX"</f>
        <v>LEUTX</v>
      </c>
      <c r="B8748" t="s">
        <v>8</v>
      </c>
    </row>
    <row r="8749" spans="1:2" x14ac:dyDescent="0.2">
      <c r="A8749" t="str">
        <f>"LFNG"</f>
        <v>LFNG</v>
      </c>
      <c r="B8749" t="s">
        <v>3</v>
      </c>
    </row>
    <row r="8750" spans="1:2" x14ac:dyDescent="0.2">
      <c r="A8750" t="str">
        <f>"LGALS1"</f>
        <v>LGALS1</v>
      </c>
      <c r="B8750" t="s">
        <v>3</v>
      </c>
    </row>
    <row r="8751" spans="1:2" x14ac:dyDescent="0.2">
      <c r="A8751" t="str">
        <f>"LGALS12"</f>
        <v>LGALS12</v>
      </c>
      <c r="B8751" t="s">
        <v>6</v>
      </c>
    </row>
    <row r="8752" spans="1:2" x14ac:dyDescent="0.2">
      <c r="A8752" t="str">
        <f>"LGALS13"</f>
        <v>LGALS13</v>
      </c>
      <c r="B8752" t="s">
        <v>6</v>
      </c>
    </row>
    <row r="8753" spans="1:2" x14ac:dyDescent="0.2">
      <c r="A8753" t="str">
        <f>"LGALS14"</f>
        <v>LGALS14</v>
      </c>
      <c r="B8753" t="s">
        <v>4</v>
      </c>
    </row>
    <row r="8754" spans="1:2" x14ac:dyDescent="0.2">
      <c r="A8754" t="str">
        <f>"LGALS16"</f>
        <v>LGALS16</v>
      </c>
      <c r="B8754" t="s">
        <v>4</v>
      </c>
    </row>
    <row r="8755" spans="1:2" x14ac:dyDescent="0.2">
      <c r="A8755" t="str">
        <f>"LGALS2"</f>
        <v>LGALS2</v>
      </c>
      <c r="B8755" t="s">
        <v>7</v>
      </c>
    </row>
    <row r="8756" spans="1:2" x14ac:dyDescent="0.2">
      <c r="A8756" t="str">
        <f>"LGALS3"</f>
        <v>LGALS3</v>
      </c>
      <c r="B8756" t="s">
        <v>3</v>
      </c>
    </row>
    <row r="8757" spans="1:2" x14ac:dyDescent="0.2">
      <c r="A8757" t="str">
        <f>"LGALS3BP"</f>
        <v>LGALS3BP</v>
      </c>
      <c r="B8757" t="s">
        <v>3</v>
      </c>
    </row>
    <row r="8758" spans="1:2" x14ac:dyDescent="0.2">
      <c r="A8758" t="str">
        <f>"LGALS4"</f>
        <v>LGALS4</v>
      </c>
      <c r="B8758" t="s">
        <v>4</v>
      </c>
    </row>
    <row r="8759" spans="1:2" x14ac:dyDescent="0.2">
      <c r="A8759" t="str">
        <f>"LGALS7"</f>
        <v>LGALS7</v>
      </c>
      <c r="B8759" t="s">
        <v>7</v>
      </c>
    </row>
    <row r="8760" spans="1:2" x14ac:dyDescent="0.2">
      <c r="A8760" t="str">
        <f>"LGALS7B"</f>
        <v>LGALS7B</v>
      </c>
      <c r="B8760" t="s">
        <v>4</v>
      </c>
    </row>
    <row r="8761" spans="1:2" x14ac:dyDescent="0.2">
      <c r="A8761" t="str">
        <f>"LGALS8"</f>
        <v>LGALS8</v>
      </c>
      <c r="B8761" t="s">
        <v>4</v>
      </c>
    </row>
    <row r="8762" spans="1:2" x14ac:dyDescent="0.2">
      <c r="A8762" t="str">
        <f>"LGALS9"</f>
        <v>LGALS9</v>
      </c>
      <c r="B8762" t="s">
        <v>7</v>
      </c>
    </row>
    <row r="8763" spans="1:2" x14ac:dyDescent="0.2">
      <c r="A8763" t="str">
        <f>"LGALS9B"</f>
        <v>LGALS9B</v>
      </c>
      <c r="B8763" t="s">
        <v>4</v>
      </c>
    </row>
    <row r="8764" spans="1:2" x14ac:dyDescent="0.2">
      <c r="A8764" t="str">
        <f>"LGALS9C"</f>
        <v>LGALS9C</v>
      </c>
      <c r="B8764" t="s">
        <v>4</v>
      </c>
    </row>
    <row r="8765" spans="1:2" x14ac:dyDescent="0.2">
      <c r="A8765" t="str">
        <f>"LGALSL"</f>
        <v>LGALSL</v>
      </c>
      <c r="B8765" t="s">
        <v>4</v>
      </c>
    </row>
    <row r="8766" spans="1:2" x14ac:dyDescent="0.2">
      <c r="A8766" t="str">
        <f>"LGI1"</f>
        <v>LGI1</v>
      </c>
      <c r="B8766" t="s">
        <v>3</v>
      </c>
    </row>
    <row r="8767" spans="1:2" x14ac:dyDescent="0.2">
      <c r="A8767" t="str">
        <f>"LGI2"</f>
        <v>LGI2</v>
      </c>
      <c r="B8767" t="s">
        <v>4</v>
      </c>
    </row>
    <row r="8768" spans="1:2" x14ac:dyDescent="0.2">
      <c r="A8768" t="str">
        <f>"LGI3"</f>
        <v>LGI3</v>
      </c>
      <c r="B8768" t="s">
        <v>4</v>
      </c>
    </row>
    <row r="8769" spans="1:2" x14ac:dyDescent="0.2">
      <c r="A8769" t="str">
        <f>"LGI4"</f>
        <v>LGI4</v>
      </c>
      <c r="B8769" t="s">
        <v>4</v>
      </c>
    </row>
    <row r="8770" spans="1:2" x14ac:dyDescent="0.2">
      <c r="A8770" t="str">
        <f>"LGMN"</f>
        <v>LGMN</v>
      </c>
      <c r="B8770" t="s">
        <v>2</v>
      </c>
    </row>
    <row r="8771" spans="1:2" x14ac:dyDescent="0.2">
      <c r="A8771" t="str">
        <f>"LGR4"</f>
        <v>LGR4</v>
      </c>
      <c r="B8771" t="s">
        <v>8</v>
      </c>
    </row>
    <row r="8772" spans="1:2" x14ac:dyDescent="0.2">
      <c r="A8772" t="str">
        <f>"LGR5"</f>
        <v>LGR5</v>
      </c>
      <c r="B8772" t="s">
        <v>5</v>
      </c>
    </row>
    <row r="8773" spans="1:2" x14ac:dyDescent="0.2">
      <c r="A8773" t="str">
        <f>"LGR6"</f>
        <v>LGR6</v>
      </c>
      <c r="B8773" t="s">
        <v>5</v>
      </c>
    </row>
    <row r="8774" spans="1:2" x14ac:dyDescent="0.2">
      <c r="A8774" t="str">
        <f>"LGSN"</f>
        <v>LGSN</v>
      </c>
      <c r="B8774" t="s">
        <v>7</v>
      </c>
    </row>
    <row r="8775" spans="1:2" x14ac:dyDescent="0.2">
      <c r="A8775" t="str">
        <f>"LHB"</f>
        <v>LHB</v>
      </c>
      <c r="B8775" t="s">
        <v>4</v>
      </c>
    </row>
    <row r="8776" spans="1:2" x14ac:dyDescent="0.2">
      <c r="A8776" t="str">
        <f>"LHCGR"</f>
        <v>LHCGR</v>
      </c>
      <c r="B8776" t="s">
        <v>7</v>
      </c>
    </row>
    <row r="8777" spans="1:2" x14ac:dyDescent="0.2">
      <c r="A8777" t="str">
        <f>"LHFP"</f>
        <v>LHFP</v>
      </c>
      <c r="B8777" t="s">
        <v>3</v>
      </c>
    </row>
    <row r="8778" spans="1:2" x14ac:dyDescent="0.2">
      <c r="A8778" t="str">
        <f>"LHFPL1"</f>
        <v>LHFPL1</v>
      </c>
      <c r="B8778" t="s">
        <v>5</v>
      </c>
    </row>
    <row r="8779" spans="1:2" x14ac:dyDescent="0.2">
      <c r="A8779" t="str">
        <f>"LHFPL2"</f>
        <v>LHFPL2</v>
      </c>
      <c r="B8779" t="s">
        <v>5</v>
      </c>
    </row>
    <row r="8780" spans="1:2" x14ac:dyDescent="0.2">
      <c r="A8780" t="str">
        <f>"LHFPL3"</f>
        <v>LHFPL3</v>
      </c>
      <c r="B8780" t="s">
        <v>4</v>
      </c>
    </row>
    <row r="8781" spans="1:2" x14ac:dyDescent="0.2">
      <c r="A8781" t="str">
        <f>"LHFPL4"</f>
        <v>LHFPL4</v>
      </c>
      <c r="B8781" t="s">
        <v>5</v>
      </c>
    </row>
    <row r="8782" spans="1:2" x14ac:dyDescent="0.2">
      <c r="A8782" t="str">
        <f>"LHFPL5"</f>
        <v>LHFPL5</v>
      </c>
      <c r="B8782" t="s">
        <v>4</v>
      </c>
    </row>
    <row r="8783" spans="1:2" x14ac:dyDescent="0.2">
      <c r="A8783" t="str">
        <f>"LHPP"</f>
        <v>LHPP</v>
      </c>
      <c r="B8783" t="s">
        <v>7</v>
      </c>
    </row>
    <row r="8784" spans="1:2" x14ac:dyDescent="0.2">
      <c r="A8784" t="str">
        <f>"LHX1"</f>
        <v>LHX1</v>
      </c>
      <c r="B8784" t="s">
        <v>8</v>
      </c>
    </row>
    <row r="8785" spans="1:2" x14ac:dyDescent="0.2">
      <c r="A8785" t="str">
        <f>"LHX2"</f>
        <v>LHX2</v>
      </c>
      <c r="B8785" t="s">
        <v>2</v>
      </c>
    </row>
    <row r="8786" spans="1:2" x14ac:dyDescent="0.2">
      <c r="A8786" t="str">
        <f>"LHX3"</f>
        <v>LHX3</v>
      </c>
      <c r="B8786" t="s">
        <v>8</v>
      </c>
    </row>
    <row r="8787" spans="1:2" x14ac:dyDescent="0.2">
      <c r="A8787" t="str">
        <f>"LHX4"</f>
        <v>LHX4</v>
      </c>
      <c r="B8787" t="s">
        <v>8</v>
      </c>
    </row>
    <row r="8788" spans="1:2" x14ac:dyDescent="0.2">
      <c r="A8788" t="str">
        <f>"LHX5"</f>
        <v>LHX5</v>
      </c>
      <c r="B8788" t="s">
        <v>2</v>
      </c>
    </row>
    <row r="8789" spans="1:2" x14ac:dyDescent="0.2">
      <c r="A8789" t="str">
        <f>"LHX6"</f>
        <v>LHX6</v>
      </c>
      <c r="B8789" t="s">
        <v>8</v>
      </c>
    </row>
    <row r="8790" spans="1:2" x14ac:dyDescent="0.2">
      <c r="A8790" t="str">
        <f>"LHX8"</f>
        <v>LHX8</v>
      </c>
      <c r="B8790" t="s">
        <v>8</v>
      </c>
    </row>
    <row r="8791" spans="1:2" x14ac:dyDescent="0.2">
      <c r="A8791" t="str">
        <f>"LHX9"</f>
        <v>LHX9</v>
      </c>
      <c r="B8791" t="s">
        <v>8</v>
      </c>
    </row>
    <row r="8792" spans="1:2" x14ac:dyDescent="0.2">
      <c r="A8792" t="str">
        <f>"LIAS"</f>
        <v>LIAS</v>
      </c>
      <c r="B8792" t="s">
        <v>7</v>
      </c>
    </row>
    <row r="8793" spans="1:2" x14ac:dyDescent="0.2">
      <c r="A8793" t="str">
        <f>"LIF"</f>
        <v>LIF</v>
      </c>
      <c r="B8793" t="s">
        <v>3</v>
      </c>
    </row>
    <row r="8794" spans="1:2" x14ac:dyDescent="0.2">
      <c r="A8794" t="str">
        <f>"LIFR"</f>
        <v>LIFR</v>
      </c>
      <c r="B8794" t="s">
        <v>3</v>
      </c>
    </row>
    <row r="8795" spans="1:2" x14ac:dyDescent="0.2">
      <c r="A8795" t="str">
        <f>"LIG1"</f>
        <v>LIG1</v>
      </c>
      <c r="B8795" t="s">
        <v>3</v>
      </c>
    </row>
    <row r="8796" spans="1:2" x14ac:dyDescent="0.2">
      <c r="A8796" t="str">
        <f>"LIG3"</f>
        <v>LIG3</v>
      </c>
      <c r="B8796" t="s">
        <v>3</v>
      </c>
    </row>
    <row r="8797" spans="1:2" x14ac:dyDescent="0.2">
      <c r="A8797" t="str">
        <f>"LIG4"</f>
        <v>LIG4</v>
      </c>
      <c r="B8797" t="s">
        <v>3</v>
      </c>
    </row>
    <row r="8798" spans="1:2" x14ac:dyDescent="0.2">
      <c r="A8798" t="str">
        <f>"LILRA1"</f>
        <v>LILRA1</v>
      </c>
      <c r="B8798" t="s">
        <v>5</v>
      </c>
    </row>
    <row r="8799" spans="1:2" x14ac:dyDescent="0.2">
      <c r="A8799" t="str">
        <f>"LILRA2"</f>
        <v>LILRA2</v>
      </c>
      <c r="B8799" t="s">
        <v>5</v>
      </c>
    </row>
    <row r="8800" spans="1:2" x14ac:dyDescent="0.2">
      <c r="A8800" t="str">
        <f>"LILRA3"</f>
        <v>LILRA3</v>
      </c>
      <c r="B8800" t="s">
        <v>5</v>
      </c>
    </row>
    <row r="8801" spans="1:2" x14ac:dyDescent="0.2">
      <c r="A8801" t="str">
        <f>"LILRA4"</f>
        <v>LILRA4</v>
      </c>
      <c r="B8801" t="s">
        <v>5</v>
      </c>
    </row>
    <row r="8802" spans="1:2" x14ac:dyDescent="0.2">
      <c r="A8802" t="str">
        <f>"LILRA5"</f>
        <v>LILRA5</v>
      </c>
      <c r="B8802" t="s">
        <v>5</v>
      </c>
    </row>
    <row r="8803" spans="1:2" x14ac:dyDescent="0.2">
      <c r="A8803" t="str">
        <f>"LILRA6"</f>
        <v>LILRA6</v>
      </c>
      <c r="B8803" t="s">
        <v>4</v>
      </c>
    </row>
    <row r="8804" spans="1:2" x14ac:dyDescent="0.2">
      <c r="A8804" t="str">
        <f>"LILRB1"</f>
        <v>LILRB1</v>
      </c>
      <c r="B8804" t="s">
        <v>5</v>
      </c>
    </row>
    <row r="8805" spans="1:2" x14ac:dyDescent="0.2">
      <c r="A8805" t="str">
        <f>"LILRB2"</f>
        <v>LILRB2</v>
      </c>
      <c r="B8805" t="s">
        <v>5</v>
      </c>
    </row>
    <row r="8806" spans="1:2" x14ac:dyDescent="0.2">
      <c r="A8806" t="str">
        <f>"LILRB3"</f>
        <v>LILRB3</v>
      </c>
      <c r="B8806" t="s">
        <v>5</v>
      </c>
    </row>
    <row r="8807" spans="1:2" x14ac:dyDescent="0.2">
      <c r="A8807" t="str">
        <f>"LILRB4"</f>
        <v>LILRB4</v>
      </c>
      <c r="B8807" t="s">
        <v>4</v>
      </c>
    </row>
    <row r="8808" spans="1:2" x14ac:dyDescent="0.2">
      <c r="A8808" t="str">
        <f>"LILRB5"</f>
        <v>LILRB5</v>
      </c>
      <c r="B8808" t="s">
        <v>5</v>
      </c>
    </row>
    <row r="8809" spans="1:2" x14ac:dyDescent="0.2">
      <c r="A8809" t="str">
        <f>"LIM2"</f>
        <v>LIM2</v>
      </c>
      <c r="B8809" t="s">
        <v>2</v>
      </c>
    </row>
    <row r="8810" spans="1:2" x14ac:dyDescent="0.2">
      <c r="A8810" t="str">
        <f>"LIMA1"</f>
        <v>LIMA1</v>
      </c>
      <c r="B8810" t="s">
        <v>6</v>
      </c>
    </row>
    <row r="8811" spans="1:2" x14ac:dyDescent="0.2">
      <c r="A8811" t="str">
        <f>"LIMCH1"</f>
        <v>LIMCH1</v>
      </c>
      <c r="B8811" t="s">
        <v>4</v>
      </c>
    </row>
    <row r="8812" spans="1:2" x14ac:dyDescent="0.2">
      <c r="A8812" t="str">
        <f>"LIMD1"</f>
        <v>LIMD1</v>
      </c>
      <c r="B8812" t="s">
        <v>8</v>
      </c>
    </row>
    <row r="8813" spans="1:2" x14ac:dyDescent="0.2">
      <c r="A8813" t="str">
        <f>"LIMD2"</f>
        <v>LIMD2</v>
      </c>
      <c r="B8813" t="s">
        <v>4</v>
      </c>
    </row>
    <row r="8814" spans="1:2" x14ac:dyDescent="0.2">
      <c r="A8814" t="str">
        <f>"LIME1"</f>
        <v>LIME1</v>
      </c>
      <c r="B8814" t="s">
        <v>4</v>
      </c>
    </row>
    <row r="8815" spans="1:2" x14ac:dyDescent="0.2">
      <c r="A8815" t="str">
        <f>"LIMK1"</f>
        <v>LIMK1</v>
      </c>
      <c r="B8815" t="s">
        <v>7</v>
      </c>
    </row>
    <row r="8816" spans="1:2" x14ac:dyDescent="0.2">
      <c r="A8816" t="str">
        <f>"LIMK2"</f>
        <v>LIMK2</v>
      </c>
      <c r="B8816" t="s">
        <v>7</v>
      </c>
    </row>
    <row r="8817" spans="1:2" x14ac:dyDescent="0.2">
      <c r="A8817" t="str">
        <f>"LIMS1"</f>
        <v>LIMS1</v>
      </c>
      <c r="B8817" t="s">
        <v>3</v>
      </c>
    </row>
    <row r="8818" spans="1:2" x14ac:dyDescent="0.2">
      <c r="A8818" t="str">
        <f>"LIMS2"</f>
        <v>LIMS2</v>
      </c>
      <c r="B8818" t="s">
        <v>4</v>
      </c>
    </row>
    <row r="8819" spans="1:2" x14ac:dyDescent="0.2">
      <c r="A8819" t="str">
        <f>"LIMS3"</f>
        <v>LIMS3</v>
      </c>
      <c r="B8819" t="s">
        <v>4</v>
      </c>
    </row>
    <row r="8820" spans="1:2" x14ac:dyDescent="0.2">
      <c r="A8820" t="str">
        <f>"LIMS3L"</f>
        <v>LIMS3L</v>
      </c>
      <c r="B8820" t="s">
        <v>4</v>
      </c>
    </row>
    <row r="8821" spans="1:2" x14ac:dyDescent="0.2">
      <c r="A8821" t="str">
        <f>"LIN28A"</f>
        <v>LIN28A</v>
      </c>
      <c r="B8821" t="s">
        <v>8</v>
      </c>
    </row>
    <row r="8822" spans="1:2" x14ac:dyDescent="0.2">
      <c r="A8822" t="str">
        <f>"LIN28B"</f>
        <v>LIN28B</v>
      </c>
      <c r="B8822" t="s">
        <v>6</v>
      </c>
    </row>
    <row r="8823" spans="1:2" x14ac:dyDescent="0.2">
      <c r="A8823" t="str">
        <f>"LIN37"</f>
        <v>LIN37</v>
      </c>
      <c r="B8823" t="s">
        <v>3</v>
      </c>
    </row>
    <row r="8824" spans="1:2" x14ac:dyDescent="0.2">
      <c r="A8824" t="str">
        <f>"LIN52"</f>
        <v>LIN52</v>
      </c>
      <c r="B8824" t="s">
        <v>3</v>
      </c>
    </row>
    <row r="8825" spans="1:2" x14ac:dyDescent="0.2">
      <c r="A8825" t="str">
        <f>"LIN54"</f>
        <v>LIN54</v>
      </c>
      <c r="B8825" t="s">
        <v>8</v>
      </c>
    </row>
    <row r="8826" spans="1:2" x14ac:dyDescent="0.2">
      <c r="A8826" t="str">
        <f>"LIN7A"</f>
        <v>LIN7A</v>
      </c>
      <c r="B8826" t="s">
        <v>6</v>
      </c>
    </row>
    <row r="8827" spans="1:2" x14ac:dyDescent="0.2">
      <c r="A8827" t="str">
        <f>"LIN7B"</f>
        <v>LIN7B</v>
      </c>
      <c r="B8827" t="s">
        <v>6</v>
      </c>
    </row>
    <row r="8828" spans="1:2" x14ac:dyDescent="0.2">
      <c r="A8828" t="str">
        <f>"LIN7C"</f>
        <v>LIN7C</v>
      </c>
      <c r="B8828" t="s">
        <v>6</v>
      </c>
    </row>
    <row r="8829" spans="1:2" x14ac:dyDescent="0.2">
      <c r="A8829" t="str">
        <f>"LIN9"</f>
        <v>LIN9</v>
      </c>
      <c r="B8829" t="s">
        <v>3</v>
      </c>
    </row>
    <row r="8830" spans="1:2" x14ac:dyDescent="0.2">
      <c r="A8830" t="str">
        <f>"LINC00594"</f>
        <v>LINC00594</v>
      </c>
      <c r="B8830" t="s">
        <v>4</v>
      </c>
    </row>
    <row r="8831" spans="1:2" x14ac:dyDescent="0.2">
      <c r="A8831" t="str">
        <f>"LINGO1"</f>
        <v>LINGO1</v>
      </c>
      <c r="B8831" t="s">
        <v>5</v>
      </c>
    </row>
    <row r="8832" spans="1:2" x14ac:dyDescent="0.2">
      <c r="A8832" t="str">
        <f>"LINGO2"</f>
        <v>LINGO2</v>
      </c>
      <c r="B8832" t="s">
        <v>3</v>
      </c>
    </row>
    <row r="8833" spans="1:2" x14ac:dyDescent="0.2">
      <c r="A8833" t="str">
        <f>"LINGO3"</f>
        <v>LINGO3</v>
      </c>
      <c r="B8833" t="s">
        <v>5</v>
      </c>
    </row>
    <row r="8834" spans="1:2" x14ac:dyDescent="0.2">
      <c r="A8834" t="str">
        <f>"LINGO4"</f>
        <v>LINGO4</v>
      </c>
      <c r="B8834" t="s">
        <v>5</v>
      </c>
    </row>
    <row r="8835" spans="1:2" x14ac:dyDescent="0.2">
      <c r="A8835" t="str">
        <f>"LINS"</f>
        <v>LINS</v>
      </c>
      <c r="B8835" t="s">
        <v>4</v>
      </c>
    </row>
    <row r="8836" spans="1:2" x14ac:dyDescent="0.2">
      <c r="A8836" t="str">
        <f>"LIPA"</f>
        <v>LIPA</v>
      </c>
      <c r="B8836" t="s">
        <v>7</v>
      </c>
    </row>
    <row r="8837" spans="1:2" x14ac:dyDescent="0.2">
      <c r="A8837" t="str">
        <f>"LIPC"</f>
        <v>LIPC</v>
      </c>
      <c r="B8837" t="s">
        <v>2</v>
      </c>
    </row>
    <row r="8838" spans="1:2" x14ac:dyDescent="0.2">
      <c r="A8838" t="str">
        <f>"LIPE"</f>
        <v>LIPE</v>
      </c>
      <c r="B8838" t="s">
        <v>2</v>
      </c>
    </row>
    <row r="8839" spans="1:2" x14ac:dyDescent="0.2">
      <c r="A8839" t="str">
        <f>"LIPF"</f>
        <v>LIPF</v>
      </c>
      <c r="B8839" t="s">
        <v>7</v>
      </c>
    </row>
    <row r="8840" spans="1:2" x14ac:dyDescent="0.2">
      <c r="A8840" t="str">
        <f>"LIPG"</f>
        <v>LIPG</v>
      </c>
      <c r="B8840" t="s">
        <v>6</v>
      </c>
    </row>
    <row r="8841" spans="1:2" x14ac:dyDescent="0.2">
      <c r="A8841" t="str">
        <f>"LIPH"</f>
        <v>LIPH</v>
      </c>
      <c r="B8841" t="s">
        <v>2</v>
      </c>
    </row>
    <row r="8842" spans="1:2" x14ac:dyDescent="0.2">
      <c r="A8842" t="str">
        <f>"LIPI"</f>
        <v>LIPI</v>
      </c>
      <c r="B8842" t="s">
        <v>2</v>
      </c>
    </row>
    <row r="8843" spans="1:2" x14ac:dyDescent="0.2">
      <c r="A8843" t="str">
        <f>"LIPJ"</f>
        <v>LIPJ</v>
      </c>
      <c r="B8843" t="s">
        <v>7</v>
      </c>
    </row>
    <row r="8844" spans="1:2" x14ac:dyDescent="0.2">
      <c r="A8844" t="str">
        <f>"LIPK"</f>
        <v>LIPK</v>
      </c>
      <c r="B8844" t="s">
        <v>2</v>
      </c>
    </row>
    <row r="8845" spans="1:2" x14ac:dyDescent="0.2">
      <c r="A8845" t="str">
        <f>"LIPM"</f>
        <v>LIPM</v>
      </c>
      <c r="B8845" t="s">
        <v>6</v>
      </c>
    </row>
    <row r="8846" spans="1:2" x14ac:dyDescent="0.2">
      <c r="A8846" t="str">
        <f>"LIPN"</f>
        <v>LIPN</v>
      </c>
      <c r="B8846" t="s">
        <v>6</v>
      </c>
    </row>
    <row r="8847" spans="1:2" x14ac:dyDescent="0.2">
      <c r="A8847" t="str">
        <f>"LIPT1"</f>
        <v>LIPT1</v>
      </c>
      <c r="B8847" t="s">
        <v>7</v>
      </c>
    </row>
    <row r="8848" spans="1:2" x14ac:dyDescent="0.2">
      <c r="A8848" t="str">
        <f>"LIPT2"</f>
        <v>LIPT2</v>
      </c>
      <c r="B8848" t="s">
        <v>6</v>
      </c>
    </row>
    <row r="8849" spans="1:2" x14ac:dyDescent="0.2">
      <c r="A8849" t="str">
        <f>"LITAF"</f>
        <v>LITAF</v>
      </c>
      <c r="B8849" t="s">
        <v>2</v>
      </c>
    </row>
    <row r="8850" spans="1:2" x14ac:dyDescent="0.2">
      <c r="A8850" t="str">
        <f>"LIX1"</f>
        <v>LIX1</v>
      </c>
      <c r="B8850" t="s">
        <v>4</v>
      </c>
    </row>
    <row r="8851" spans="1:2" x14ac:dyDescent="0.2">
      <c r="A8851" t="str">
        <f>"LIX1L"</f>
        <v>LIX1L</v>
      </c>
      <c r="B8851" t="s">
        <v>4</v>
      </c>
    </row>
    <row r="8852" spans="1:2" x14ac:dyDescent="0.2">
      <c r="A8852" t="str">
        <f>"LLGL1"</f>
        <v>LLGL1</v>
      </c>
      <c r="B8852" t="s">
        <v>2</v>
      </c>
    </row>
    <row r="8853" spans="1:2" x14ac:dyDescent="0.2">
      <c r="A8853" t="str">
        <f>"LLGL2"</f>
        <v>LLGL2</v>
      </c>
      <c r="B8853" t="s">
        <v>3</v>
      </c>
    </row>
    <row r="8854" spans="1:2" x14ac:dyDescent="0.2">
      <c r="A8854" t="str">
        <f>"LLPH"</f>
        <v>LLPH</v>
      </c>
      <c r="B8854" t="s">
        <v>5</v>
      </c>
    </row>
    <row r="8855" spans="1:2" x14ac:dyDescent="0.2">
      <c r="A8855" t="str">
        <f>"LMAN1"</f>
        <v>LMAN1</v>
      </c>
      <c r="B8855" t="s">
        <v>7</v>
      </c>
    </row>
    <row r="8856" spans="1:2" x14ac:dyDescent="0.2">
      <c r="A8856" t="str">
        <f>"LMAN1L"</f>
        <v>LMAN1L</v>
      </c>
      <c r="B8856" t="s">
        <v>4</v>
      </c>
    </row>
    <row r="8857" spans="1:2" x14ac:dyDescent="0.2">
      <c r="A8857" t="str">
        <f>"LMAN2"</f>
        <v>LMAN2</v>
      </c>
      <c r="B8857" t="s">
        <v>2</v>
      </c>
    </row>
    <row r="8858" spans="1:2" x14ac:dyDescent="0.2">
      <c r="A8858" t="str">
        <f>"LMAN2L"</f>
        <v>LMAN2L</v>
      </c>
      <c r="B8858" t="s">
        <v>2</v>
      </c>
    </row>
    <row r="8859" spans="1:2" x14ac:dyDescent="0.2">
      <c r="A8859" t="str">
        <f>"LMBR1"</f>
        <v>LMBR1</v>
      </c>
      <c r="B8859" t="s">
        <v>5</v>
      </c>
    </row>
    <row r="8860" spans="1:2" x14ac:dyDescent="0.2">
      <c r="A8860" t="str">
        <f>"LMBR1L"</f>
        <v>LMBR1L</v>
      </c>
      <c r="B8860" t="s">
        <v>6</v>
      </c>
    </row>
    <row r="8861" spans="1:2" x14ac:dyDescent="0.2">
      <c r="A8861" t="str">
        <f>"LMBRD1"</f>
        <v>LMBRD1</v>
      </c>
      <c r="B8861" t="s">
        <v>5</v>
      </c>
    </row>
    <row r="8862" spans="1:2" x14ac:dyDescent="0.2">
      <c r="A8862" t="str">
        <f>"LMBRD2"</f>
        <v>LMBRD2</v>
      </c>
      <c r="B8862" t="s">
        <v>5</v>
      </c>
    </row>
    <row r="8863" spans="1:2" x14ac:dyDescent="0.2">
      <c r="A8863" t="str">
        <f>"LMCD1"</f>
        <v>LMCD1</v>
      </c>
      <c r="B8863" t="s">
        <v>8</v>
      </c>
    </row>
    <row r="8864" spans="1:2" x14ac:dyDescent="0.2">
      <c r="A8864" t="str">
        <f>"LMF1"</f>
        <v>LMF1</v>
      </c>
      <c r="B8864" t="s">
        <v>2</v>
      </c>
    </row>
    <row r="8865" spans="1:2" x14ac:dyDescent="0.2">
      <c r="A8865" t="str">
        <f>"LMF2"</f>
        <v>LMF2</v>
      </c>
      <c r="B8865" t="s">
        <v>6</v>
      </c>
    </row>
    <row r="8866" spans="1:2" x14ac:dyDescent="0.2">
      <c r="A8866" t="str">
        <f>"LMLN"</f>
        <v>LMLN</v>
      </c>
      <c r="B8866" t="s">
        <v>3</v>
      </c>
    </row>
    <row r="8867" spans="1:2" x14ac:dyDescent="0.2">
      <c r="A8867" t="str">
        <f>"LMNA"</f>
        <v>LMNA</v>
      </c>
      <c r="B8867" t="s">
        <v>2</v>
      </c>
    </row>
    <row r="8868" spans="1:2" x14ac:dyDescent="0.2">
      <c r="A8868" t="str">
        <f>"LMNB1"</f>
        <v>LMNB1</v>
      </c>
      <c r="B8868" t="s">
        <v>3</v>
      </c>
    </row>
    <row r="8869" spans="1:2" x14ac:dyDescent="0.2">
      <c r="A8869" t="str">
        <f>"LMNB2"</f>
        <v>LMNB2</v>
      </c>
      <c r="B8869" t="s">
        <v>3</v>
      </c>
    </row>
    <row r="8870" spans="1:2" x14ac:dyDescent="0.2">
      <c r="A8870" t="str">
        <f>"LMO1"</f>
        <v>LMO1</v>
      </c>
      <c r="B8870" t="s">
        <v>3</v>
      </c>
    </row>
    <row r="8871" spans="1:2" x14ac:dyDescent="0.2">
      <c r="A8871" t="str">
        <f>"LMO2"</f>
        <v>LMO2</v>
      </c>
      <c r="B8871" t="s">
        <v>3</v>
      </c>
    </row>
    <row r="8872" spans="1:2" x14ac:dyDescent="0.2">
      <c r="A8872" t="str">
        <f>"LMO3"</f>
        <v>LMO3</v>
      </c>
      <c r="B8872" t="s">
        <v>8</v>
      </c>
    </row>
    <row r="8873" spans="1:2" x14ac:dyDescent="0.2">
      <c r="A8873" t="str">
        <f>"LMO4"</f>
        <v>LMO4</v>
      </c>
      <c r="B8873" t="s">
        <v>8</v>
      </c>
    </row>
    <row r="8874" spans="1:2" x14ac:dyDescent="0.2">
      <c r="A8874" t="str">
        <f>"LMO7"</f>
        <v>LMO7</v>
      </c>
      <c r="B8874" t="s">
        <v>3</v>
      </c>
    </row>
    <row r="8875" spans="1:2" x14ac:dyDescent="0.2">
      <c r="A8875" t="str">
        <f>"LMOD1"</f>
        <v>LMOD1</v>
      </c>
      <c r="B8875" t="s">
        <v>6</v>
      </c>
    </row>
    <row r="8876" spans="1:2" x14ac:dyDescent="0.2">
      <c r="A8876" t="str">
        <f>"LMOD2"</f>
        <v>LMOD2</v>
      </c>
      <c r="B8876" t="s">
        <v>6</v>
      </c>
    </row>
    <row r="8877" spans="1:2" x14ac:dyDescent="0.2">
      <c r="A8877" t="str">
        <f>"LMOD3"</f>
        <v>LMOD3</v>
      </c>
      <c r="B8877" t="s">
        <v>6</v>
      </c>
    </row>
    <row r="8878" spans="1:2" x14ac:dyDescent="0.2">
      <c r="A8878" t="str">
        <f>"LMTK2"</f>
        <v>LMTK2</v>
      </c>
      <c r="B8878" t="s">
        <v>7</v>
      </c>
    </row>
    <row r="8879" spans="1:2" x14ac:dyDescent="0.2">
      <c r="A8879" t="str">
        <f>"LMTK3"</f>
        <v>LMTK3</v>
      </c>
      <c r="B8879" t="s">
        <v>7</v>
      </c>
    </row>
    <row r="8880" spans="1:2" x14ac:dyDescent="0.2">
      <c r="A8880" t="str">
        <f>"LMX1A"</f>
        <v>LMX1A</v>
      </c>
      <c r="B8880" t="s">
        <v>3</v>
      </c>
    </row>
    <row r="8881" spans="1:2" x14ac:dyDescent="0.2">
      <c r="A8881" t="str">
        <f>"LMX1B"</f>
        <v>LMX1B</v>
      </c>
      <c r="B8881" t="s">
        <v>8</v>
      </c>
    </row>
    <row r="8882" spans="1:2" x14ac:dyDescent="0.2">
      <c r="A8882" t="str">
        <f>"LNP1"</f>
        <v>LNP1</v>
      </c>
      <c r="B8882" t="s">
        <v>4</v>
      </c>
    </row>
    <row r="8883" spans="1:2" x14ac:dyDescent="0.2">
      <c r="A8883" t="str">
        <f>"LNPEP"</f>
        <v>LNPEP</v>
      </c>
      <c r="B8883" t="s">
        <v>2</v>
      </c>
    </row>
    <row r="8884" spans="1:2" x14ac:dyDescent="0.2">
      <c r="A8884" t="str">
        <f>"LNX1"</f>
        <v>LNX1</v>
      </c>
      <c r="B8884" t="s">
        <v>2</v>
      </c>
    </row>
    <row r="8885" spans="1:2" x14ac:dyDescent="0.2">
      <c r="A8885" t="str">
        <f>"LNX2"</f>
        <v>LNX2</v>
      </c>
      <c r="B8885" t="s">
        <v>3</v>
      </c>
    </row>
    <row r="8886" spans="1:2" x14ac:dyDescent="0.2">
      <c r="A8886" t="str">
        <f>"LOC100129083"</f>
        <v>LOC100129083</v>
      </c>
      <c r="B8886" t="s">
        <v>4</v>
      </c>
    </row>
    <row r="8887" spans="1:2" x14ac:dyDescent="0.2">
      <c r="A8887" t="str">
        <f>"LOC100129216"</f>
        <v>LOC100129216</v>
      </c>
      <c r="B8887" t="s">
        <v>4</v>
      </c>
    </row>
    <row r="8888" spans="1:2" x14ac:dyDescent="0.2">
      <c r="A8888" t="str">
        <f>"LOC100129361"</f>
        <v>LOC100129361</v>
      </c>
      <c r="B8888" t="s">
        <v>4</v>
      </c>
    </row>
    <row r="8889" spans="1:2" x14ac:dyDescent="0.2">
      <c r="A8889" t="str">
        <f>"LOC100129520"</f>
        <v>LOC100129520</v>
      </c>
      <c r="B8889" t="s">
        <v>4</v>
      </c>
    </row>
    <row r="8890" spans="1:2" x14ac:dyDescent="0.2">
      <c r="A8890" t="str">
        <f>"LOC100129636"</f>
        <v>LOC100129636</v>
      </c>
      <c r="B8890" t="s">
        <v>4</v>
      </c>
    </row>
    <row r="8891" spans="1:2" x14ac:dyDescent="0.2">
      <c r="A8891" t="str">
        <f>"LOC100129924"</f>
        <v>LOC100129924</v>
      </c>
      <c r="B8891" t="s">
        <v>4</v>
      </c>
    </row>
    <row r="8892" spans="1:2" x14ac:dyDescent="0.2">
      <c r="A8892" t="str">
        <f>"LOC100130301"</f>
        <v>LOC100130301</v>
      </c>
      <c r="B8892" t="s">
        <v>4</v>
      </c>
    </row>
    <row r="8893" spans="1:2" x14ac:dyDescent="0.2">
      <c r="A8893" t="str">
        <f>"LOC100130357"</f>
        <v>LOC100130357</v>
      </c>
      <c r="B8893" t="s">
        <v>4</v>
      </c>
    </row>
    <row r="8894" spans="1:2" x14ac:dyDescent="0.2">
      <c r="A8894" t="str">
        <f>"LOC100130370"</f>
        <v>LOC100130370</v>
      </c>
      <c r="B8894" t="s">
        <v>4</v>
      </c>
    </row>
    <row r="8895" spans="1:2" x14ac:dyDescent="0.2">
      <c r="A8895" t="str">
        <f>"LOC100130451"</f>
        <v>LOC100130451</v>
      </c>
      <c r="B8895" t="s">
        <v>4</v>
      </c>
    </row>
    <row r="8896" spans="1:2" x14ac:dyDescent="0.2">
      <c r="A8896" t="str">
        <f>"LOC100130539"</f>
        <v>LOC100130539</v>
      </c>
      <c r="B8896" t="s">
        <v>4</v>
      </c>
    </row>
    <row r="8897" spans="1:2" x14ac:dyDescent="0.2">
      <c r="A8897" t="str">
        <f>"LOC100130705"</f>
        <v>LOC100130705</v>
      </c>
      <c r="B8897" t="s">
        <v>4</v>
      </c>
    </row>
    <row r="8898" spans="1:2" x14ac:dyDescent="0.2">
      <c r="A8898" t="str">
        <f>"LOC100130880"</f>
        <v>LOC100130880</v>
      </c>
      <c r="B8898" t="s">
        <v>4</v>
      </c>
    </row>
    <row r="8899" spans="1:2" x14ac:dyDescent="0.2">
      <c r="A8899" t="str">
        <f>"LOC100131094"</f>
        <v>LOC100131094</v>
      </c>
      <c r="B8899" t="s">
        <v>4</v>
      </c>
    </row>
    <row r="8900" spans="1:2" x14ac:dyDescent="0.2">
      <c r="A8900" t="str">
        <f>"LOC100132146"</f>
        <v>LOC100132146</v>
      </c>
      <c r="B8900" t="s">
        <v>4</v>
      </c>
    </row>
    <row r="8901" spans="1:2" x14ac:dyDescent="0.2">
      <c r="A8901" t="str">
        <f>"LOC100133267"</f>
        <v>LOC100133267</v>
      </c>
      <c r="B8901" t="s">
        <v>4</v>
      </c>
    </row>
    <row r="8902" spans="1:2" x14ac:dyDescent="0.2">
      <c r="A8902" t="str">
        <f>"LOC100144595"</f>
        <v>LOC100144595</v>
      </c>
      <c r="B8902" t="s">
        <v>4</v>
      </c>
    </row>
    <row r="8903" spans="1:2" x14ac:dyDescent="0.2">
      <c r="A8903" t="str">
        <f>"LOC100287036"</f>
        <v>LOC100287036</v>
      </c>
      <c r="B8903" t="s">
        <v>4</v>
      </c>
    </row>
    <row r="8904" spans="1:2" x14ac:dyDescent="0.2">
      <c r="A8904" t="str">
        <f>"LOC100287534"</f>
        <v>LOC100287534</v>
      </c>
      <c r="B8904" t="s">
        <v>4</v>
      </c>
    </row>
    <row r="8905" spans="1:2" x14ac:dyDescent="0.2">
      <c r="A8905" t="str">
        <f>"LOC100288255"</f>
        <v>LOC100288255</v>
      </c>
      <c r="B8905" t="s">
        <v>4</v>
      </c>
    </row>
    <row r="8906" spans="1:2" x14ac:dyDescent="0.2">
      <c r="A8906" t="str">
        <f>"LOC100288524"</f>
        <v>LOC100288524</v>
      </c>
      <c r="B8906" t="s">
        <v>4</v>
      </c>
    </row>
    <row r="8907" spans="1:2" x14ac:dyDescent="0.2">
      <c r="A8907" t="str">
        <f>"LOC100288814"</f>
        <v>LOC100288814</v>
      </c>
      <c r="B8907" t="s">
        <v>4</v>
      </c>
    </row>
    <row r="8908" spans="1:2" x14ac:dyDescent="0.2">
      <c r="A8908" t="str">
        <f>"LOC100289187"</f>
        <v>LOC100289187</v>
      </c>
      <c r="B8908" t="s">
        <v>4</v>
      </c>
    </row>
    <row r="8909" spans="1:2" x14ac:dyDescent="0.2">
      <c r="A8909" t="str">
        <f>"LOC100289561"</f>
        <v>LOC100289561</v>
      </c>
      <c r="B8909" t="s">
        <v>4</v>
      </c>
    </row>
    <row r="8910" spans="1:2" x14ac:dyDescent="0.2">
      <c r="A8910" t="str">
        <f>"LOC100505478"</f>
        <v>LOC100505478</v>
      </c>
      <c r="B8910" t="s">
        <v>4</v>
      </c>
    </row>
    <row r="8911" spans="1:2" x14ac:dyDescent="0.2">
      <c r="A8911" t="str">
        <f>"LOC100505549"</f>
        <v>LOC100505549</v>
      </c>
      <c r="B8911" t="s">
        <v>4</v>
      </c>
    </row>
    <row r="8912" spans="1:2" x14ac:dyDescent="0.2">
      <c r="A8912" t="str">
        <f>"LOC100505679"</f>
        <v>LOC100505679</v>
      </c>
      <c r="B8912" t="s">
        <v>4</v>
      </c>
    </row>
    <row r="8913" spans="1:2" x14ac:dyDescent="0.2">
      <c r="A8913" t="str">
        <f>"LOC100505841"</f>
        <v>LOC100505841</v>
      </c>
      <c r="B8913" t="s">
        <v>4</v>
      </c>
    </row>
    <row r="8914" spans="1:2" x14ac:dyDescent="0.2">
      <c r="A8914" t="str">
        <f>"LOC100506127"</f>
        <v>LOC100506127</v>
      </c>
      <c r="B8914" t="s">
        <v>4</v>
      </c>
    </row>
    <row r="8915" spans="1:2" x14ac:dyDescent="0.2">
      <c r="A8915" t="str">
        <f>"LOC100506388"</f>
        <v>LOC100506388</v>
      </c>
      <c r="B8915" t="s">
        <v>4</v>
      </c>
    </row>
    <row r="8916" spans="1:2" x14ac:dyDescent="0.2">
      <c r="A8916" t="str">
        <f>"LOC100506422"</f>
        <v>LOC100506422</v>
      </c>
      <c r="B8916" t="s">
        <v>4</v>
      </c>
    </row>
    <row r="8917" spans="1:2" x14ac:dyDescent="0.2">
      <c r="A8917" t="str">
        <f>"LOC100507003"</f>
        <v>LOC100507003</v>
      </c>
      <c r="B8917" t="s">
        <v>4</v>
      </c>
    </row>
    <row r="8918" spans="1:2" x14ac:dyDescent="0.2">
      <c r="A8918" t="str">
        <f>"LOC100507462"</f>
        <v>LOC100507462</v>
      </c>
      <c r="B8918" t="s">
        <v>4</v>
      </c>
    </row>
    <row r="8919" spans="1:2" x14ac:dyDescent="0.2">
      <c r="A8919" t="str">
        <f>"LOC100652758"</f>
        <v>LOC100652758</v>
      </c>
      <c r="B8919" t="s">
        <v>4</v>
      </c>
    </row>
    <row r="8920" spans="1:2" x14ac:dyDescent="0.2">
      <c r="A8920" t="str">
        <f>"LOC100652824"</f>
        <v>LOC100652824</v>
      </c>
      <c r="B8920" t="s">
        <v>4</v>
      </c>
    </row>
    <row r="8921" spans="1:2" x14ac:dyDescent="0.2">
      <c r="A8921" t="str">
        <f>"LOC100653515"</f>
        <v>LOC100653515</v>
      </c>
      <c r="B8921" t="s">
        <v>3</v>
      </c>
    </row>
    <row r="8922" spans="1:2" x14ac:dyDescent="0.2">
      <c r="A8922" t="str">
        <f>"LOC100862671"</f>
        <v>LOC100862671</v>
      </c>
      <c r="B8922" t="s">
        <v>4</v>
      </c>
    </row>
    <row r="8923" spans="1:2" x14ac:dyDescent="0.2">
      <c r="A8923" t="str">
        <f>"LOC100996634"</f>
        <v>LOC100996634</v>
      </c>
      <c r="B8923" t="s">
        <v>4</v>
      </c>
    </row>
    <row r="8924" spans="1:2" x14ac:dyDescent="0.2">
      <c r="A8924" t="str">
        <f>"LOC100996693"</f>
        <v>LOC100996693</v>
      </c>
      <c r="B8924" t="s">
        <v>4</v>
      </c>
    </row>
    <row r="8925" spans="1:2" x14ac:dyDescent="0.2">
      <c r="A8925" t="str">
        <f>"LOC100996758"</f>
        <v>LOC100996758</v>
      </c>
      <c r="B8925" t="s">
        <v>4</v>
      </c>
    </row>
    <row r="8926" spans="1:2" x14ac:dyDescent="0.2">
      <c r="A8926" t="str">
        <f>"LOC147646"</f>
        <v>LOC147646</v>
      </c>
      <c r="B8926" t="s">
        <v>4</v>
      </c>
    </row>
    <row r="8927" spans="1:2" x14ac:dyDescent="0.2">
      <c r="A8927" t="str">
        <f>"LOC149373"</f>
        <v>LOC149373</v>
      </c>
      <c r="B8927" t="s">
        <v>4</v>
      </c>
    </row>
    <row r="8928" spans="1:2" x14ac:dyDescent="0.2">
      <c r="A8928" t="str">
        <f>"LOC152586"</f>
        <v>LOC152586</v>
      </c>
      <c r="B8928" t="s">
        <v>4</v>
      </c>
    </row>
    <row r="8929" spans="1:2" x14ac:dyDescent="0.2">
      <c r="A8929" t="str">
        <f>"LOC154872"</f>
        <v>LOC154872</v>
      </c>
      <c r="B8929" t="s">
        <v>4</v>
      </c>
    </row>
    <row r="8930" spans="1:2" x14ac:dyDescent="0.2">
      <c r="A8930" t="str">
        <f>"LOC158434"</f>
        <v>LOC158434</v>
      </c>
      <c r="B8930" t="s">
        <v>4</v>
      </c>
    </row>
    <row r="8931" spans="1:2" x14ac:dyDescent="0.2">
      <c r="A8931" t="str">
        <f>"LOC200726"</f>
        <v>LOC200726</v>
      </c>
      <c r="B8931" t="s">
        <v>4</v>
      </c>
    </row>
    <row r="8932" spans="1:2" x14ac:dyDescent="0.2">
      <c r="A8932" t="str">
        <f>"LOC283710"</f>
        <v>LOC283710</v>
      </c>
      <c r="B8932" t="s">
        <v>4</v>
      </c>
    </row>
    <row r="8933" spans="1:2" x14ac:dyDescent="0.2">
      <c r="A8933" t="str">
        <f>"LOC286238"</f>
        <v>LOC286238</v>
      </c>
      <c r="B8933" t="s">
        <v>4</v>
      </c>
    </row>
    <row r="8934" spans="1:2" x14ac:dyDescent="0.2">
      <c r="A8934" t="str">
        <f>"LOC339862"</f>
        <v>LOC339862</v>
      </c>
      <c r="B8934" t="s">
        <v>4</v>
      </c>
    </row>
    <row r="8935" spans="1:2" x14ac:dyDescent="0.2">
      <c r="A8935" t="str">
        <f>"LOC388282"</f>
        <v>LOC388282</v>
      </c>
      <c r="B8935" t="s">
        <v>4</v>
      </c>
    </row>
    <row r="8936" spans="1:2" x14ac:dyDescent="0.2">
      <c r="A8936" t="str">
        <f>"LOC388813"</f>
        <v>LOC388813</v>
      </c>
      <c r="B8936" t="s">
        <v>4</v>
      </c>
    </row>
    <row r="8937" spans="1:2" x14ac:dyDescent="0.2">
      <c r="A8937" t="str">
        <f>"LOC388849"</f>
        <v>LOC388849</v>
      </c>
      <c r="B8937" t="s">
        <v>5</v>
      </c>
    </row>
    <row r="8938" spans="1:2" x14ac:dyDescent="0.2">
      <c r="A8938" t="str">
        <f>"LOC389895"</f>
        <v>LOC389895</v>
      </c>
      <c r="B8938" t="s">
        <v>4</v>
      </c>
    </row>
    <row r="8939" spans="1:2" x14ac:dyDescent="0.2">
      <c r="A8939" t="str">
        <f>"LOC391322"</f>
        <v>LOC391322</v>
      </c>
      <c r="B8939" t="s">
        <v>4</v>
      </c>
    </row>
    <row r="8940" spans="1:2" x14ac:dyDescent="0.2">
      <c r="A8940" t="str">
        <f>"LOC401052"</f>
        <v>LOC401052</v>
      </c>
      <c r="B8940" t="s">
        <v>4</v>
      </c>
    </row>
    <row r="8941" spans="1:2" x14ac:dyDescent="0.2">
      <c r="A8941" t="str">
        <f>"LOC402160"</f>
        <v>LOC402160</v>
      </c>
      <c r="B8941" t="s">
        <v>4</v>
      </c>
    </row>
    <row r="8942" spans="1:2" x14ac:dyDescent="0.2">
      <c r="A8942" t="str">
        <f>"LOC441155"</f>
        <v>LOC441155</v>
      </c>
      <c r="B8942" t="s">
        <v>4</v>
      </c>
    </row>
    <row r="8943" spans="1:2" x14ac:dyDescent="0.2">
      <c r="A8943" t="str">
        <f>"LOC554223"</f>
        <v>LOC554223</v>
      </c>
      <c r="B8943" t="s">
        <v>4</v>
      </c>
    </row>
    <row r="8944" spans="1:2" x14ac:dyDescent="0.2">
      <c r="A8944" t="str">
        <f>"LOC643037"</f>
        <v>LOC643037</v>
      </c>
      <c r="B8944" t="s">
        <v>4</v>
      </c>
    </row>
    <row r="8945" spans="1:2" x14ac:dyDescent="0.2">
      <c r="A8945" t="str">
        <f>"LOC643355"</f>
        <v>LOC643355</v>
      </c>
      <c r="B8945" t="s">
        <v>4</v>
      </c>
    </row>
    <row r="8946" spans="1:2" x14ac:dyDescent="0.2">
      <c r="A8946" t="str">
        <f>"LOC643669"</f>
        <v>LOC643669</v>
      </c>
      <c r="B8946" t="s">
        <v>4</v>
      </c>
    </row>
    <row r="8947" spans="1:2" x14ac:dyDescent="0.2">
      <c r="A8947" t="str">
        <f>"LOC643802"</f>
        <v>LOC643802</v>
      </c>
      <c r="B8947" t="s">
        <v>4</v>
      </c>
    </row>
    <row r="8948" spans="1:2" x14ac:dyDescent="0.2">
      <c r="A8948" t="str">
        <f>"LOC646862"</f>
        <v>LOC646862</v>
      </c>
      <c r="B8948" t="s">
        <v>5</v>
      </c>
    </row>
    <row r="8949" spans="1:2" x14ac:dyDescent="0.2">
      <c r="A8949" t="str">
        <f>"LOC649330"</f>
        <v>LOC649330</v>
      </c>
      <c r="B8949" t="s">
        <v>4</v>
      </c>
    </row>
    <row r="8950" spans="1:2" x14ac:dyDescent="0.2">
      <c r="A8950" t="str">
        <f>"LOC653486"</f>
        <v>LOC653486</v>
      </c>
      <c r="B8950" t="s">
        <v>4</v>
      </c>
    </row>
    <row r="8951" spans="1:2" x14ac:dyDescent="0.2">
      <c r="A8951" t="str">
        <f>"LOC728392"</f>
        <v>LOC728392</v>
      </c>
      <c r="B8951" t="s">
        <v>4</v>
      </c>
    </row>
    <row r="8952" spans="1:2" x14ac:dyDescent="0.2">
      <c r="A8952" t="str">
        <f>"LOC728637"</f>
        <v>LOC728637</v>
      </c>
      <c r="B8952" t="s">
        <v>4</v>
      </c>
    </row>
    <row r="8953" spans="1:2" x14ac:dyDescent="0.2">
      <c r="A8953" t="str">
        <f>"LOC728819"</f>
        <v>LOC728819</v>
      </c>
      <c r="B8953" t="s">
        <v>5</v>
      </c>
    </row>
    <row r="8954" spans="1:2" x14ac:dyDescent="0.2">
      <c r="A8954" t="str">
        <f>"LOC729020"</f>
        <v>LOC729020</v>
      </c>
      <c r="B8954" t="s">
        <v>4</v>
      </c>
    </row>
    <row r="8955" spans="1:2" x14ac:dyDescent="0.2">
      <c r="A8955" t="str">
        <f>"LOC729159"</f>
        <v>LOC729159</v>
      </c>
      <c r="B8955" t="s">
        <v>4</v>
      </c>
    </row>
    <row r="8956" spans="1:2" x14ac:dyDescent="0.2">
      <c r="A8956" t="str">
        <f>"LOC729574"</f>
        <v>LOC729574</v>
      </c>
      <c r="B8956" t="s">
        <v>4</v>
      </c>
    </row>
    <row r="8957" spans="1:2" x14ac:dyDescent="0.2">
      <c r="A8957" t="str">
        <f>"LOC730159"</f>
        <v>LOC730159</v>
      </c>
      <c r="B8957" t="s">
        <v>4</v>
      </c>
    </row>
    <row r="8958" spans="1:2" x14ac:dyDescent="0.2">
      <c r="A8958" t="str">
        <f>"LOC730183"</f>
        <v>LOC730183</v>
      </c>
      <c r="B8958" t="s">
        <v>4</v>
      </c>
    </row>
    <row r="8959" spans="1:2" x14ac:dyDescent="0.2">
      <c r="A8959" t="str">
        <f>"LOC81691"</f>
        <v>LOC81691</v>
      </c>
      <c r="B8959" t="s">
        <v>8</v>
      </c>
    </row>
    <row r="8960" spans="1:2" x14ac:dyDescent="0.2">
      <c r="A8960" t="str">
        <f>"LOH12CR1"</f>
        <v>LOH12CR1</v>
      </c>
      <c r="B8960" t="s">
        <v>4</v>
      </c>
    </row>
    <row r="8961" spans="1:2" x14ac:dyDescent="0.2">
      <c r="A8961" t="str">
        <f>"LONP1"</f>
        <v>LONP1</v>
      </c>
      <c r="B8961" t="s">
        <v>2</v>
      </c>
    </row>
    <row r="8962" spans="1:2" x14ac:dyDescent="0.2">
      <c r="A8962" t="str">
        <f>"LONP2"</f>
        <v>LONP2</v>
      </c>
      <c r="B8962" t="s">
        <v>2</v>
      </c>
    </row>
    <row r="8963" spans="1:2" x14ac:dyDescent="0.2">
      <c r="A8963" t="str">
        <f>"LONRF1"</f>
        <v>LONRF1</v>
      </c>
      <c r="B8963" t="s">
        <v>2</v>
      </c>
    </row>
    <row r="8964" spans="1:2" x14ac:dyDescent="0.2">
      <c r="A8964" t="str">
        <f>"LONRF2"</f>
        <v>LONRF2</v>
      </c>
      <c r="B8964" t="s">
        <v>2</v>
      </c>
    </row>
    <row r="8965" spans="1:2" x14ac:dyDescent="0.2">
      <c r="A8965" t="str">
        <f>"LONRF3"</f>
        <v>LONRF3</v>
      </c>
      <c r="B8965" t="s">
        <v>2</v>
      </c>
    </row>
    <row r="8966" spans="1:2" x14ac:dyDescent="0.2">
      <c r="A8966" t="str">
        <f>"LOR"</f>
        <v>LOR</v>
      </c>
      <c r="B8966" t="s">
        <v>6</v>
      </c>
    </row>
    <row r="8967" spans="1:2" x14ac:dyDescent="0.2">
      <c r="A8967" t="str">
        <f>"LOX"</f>
        <v>LOX</v>
      </c>
      <c r="B8967" t="s">
        <v>3</v>
      </c>
    </row>
    <row r="8968" spans="1:2" x14ac:dyDescent="0.2">
      <c r="A8968" t="str">
        <f>"LOXHD1"</f>
        <v>LOXHD1</v>
      </c>
      <c r="B8968" t="s">
        <v>4</v>
      </c>
    </row>
    <row r="8969" spans="1:2" x14ac:dyDescent="0.2">
      <c r="A8969" t="str">
        <f>"LOXL1"</f>
        <v>LOXL1</v>
      </c>
      <c r="B8969" t="s">
        <v>4</v>
      </c>
    </row>
    <row r="8970" spans="1:2" x14ac:dyDescent="0.2">
      <c r="A8970" t="str">
        <f>"LOXL2"</f>
        <v>LOXL2</v>
      </c>
      <c r="B8970" t="s">
        <v>3</v>
      </c>
    </row>
    <row r="8971" spans="1:2" x14ac:dyDescent="0.2">
      <c r="A8971" t="str">
        <f>"LOXL3"</f>
        <v>LOXL3</v>
      </c>
      <c r="B8971" t="s">
        <v>4</v>
      </c>
    </row>
    <row r="8972" spans="1:2" x14ac:dyDescent="0.2">
      <c r="A8972" t="str">
        <f>"LOXL4"</f>
        <v>LOXL4</v>
      </c>
      <c r="B8972" t="s">
        <v>4</v>
      </c>
    </row>
    <row r="8973" spans="1:2" x14ac:dyDescent="0.2">
      <c r="A8973" t="str">
        <f>"LPA"</f>
        <v>LPA</v>
      </c>
      <c r="B8973" t="s">
        <v>7</v>
      </c>
    </row>
    <row r="8974" spans="1:2" x14ac:dyDescent="0.2">
      <c r="A8974" t="str">
        <f>"LPAR1"</f>
        <v>LPAR1</v>
      </c>
      <c r="B8974" t="s">
        <v>3</v>
      </c>
    </row>
    <row r="8975" spans="1:2" x14ac:dyDescent="0.2">
      <c r="A8975" t="str">
        <f>"LPAR2"</f>
        <v>LPAR2</v>
      </c>
      <c r="B8975" t="s">
        <v>6</v>
      </c>
    </row>
    <row r="8976" spans="1:2" x14ac:dyDescent="0.2">
      <c r="A8976" t="str">
        <f>"LPAR3"</f>
        <v>LPAR3</v>
      </c>
      <c r="B8976" t="s">
        <v>2</v>
      </c>
    </row>
    <row r="8977" spans="1:2" x14ac:dyDescent="0.2">
      <c r="A8977" t="str">
        <f>"LPAR4"</f>
        <v>LPAR4</v>
      </c>
      <c r="B8977" t="s">
        <v>2</v>
      </c>
    </row>
    <row r="8978" spans="1:2" x14ac:dyDescent="0.2">
      <c r="A8978" t="str">
        <f>"LPAR5"</f>
        <v>LPAR5</v>
      </c>
      <c r="B8978" t="s">
        <v>5</v>
      </c>
    </row>
    <row r="8979" spans="1:2" x14ac:dyDescent="0.2">
      <c r="A8979" t="str">
        <f>"LPAR6"</f>
        <v>LPAR6</v>
      </c>
      <c r="B8979" t="s">
        <v>5</v>
      </c>
    </row>
    <row r="8980" spans="1:2" x14ac:dyDescent="0.2">
      <c r="A8980" t="str">
        <f>"LPCAT1"</f>
        <v>LPCAT1</v>
      </c>
      <c r="B8980" t="s">
        <v>6</v>
      </c>
    </row>
    <row r="8981" spans="1:2" x14ac:dyDescent="0.2">
      <c r="A8981" t="str">
        <f>"LPCAT2"</f>
        <v>LPCAT2</v>
      </c>
      <c r="B8981" t="s">
        <v>5</v>
      </c>
    </row>
    <row r="8982" spans="1:2" x14ac:dyDescent="0.2">
      <c r="A8982" t="str">
        <f>"LPCAT3"</f>
        <v>LPCAT3</v>
      </c>
      <c r="B8982" t="s">
        <v>2</v>
      </c>
    </row>
    <row r="8983" spans="1:2" x14ac:dyDescent="0.2">
      <c r="A8983" t="str">
        <f>"LPCAT4"</f>
        <v>LPCAT4</v>
      </c>
      <c r="B8983" t="s">
        <v>2</v>
      </c>
    </row>
    <row r="8984" spans="1:2" x14ac:dyDescent="0.2">
      <c r="A8984" t="str">
        <f>"LPGAT1"</f>
        <v>LPGAT1</v>
      </c>
      <c r="B8984" t="s">
        <v>6</v>
      </c>
    </row>
    <row r="8985" spans="1:2" x14ac:dyDescent="0.2">
      <c r="A8985" t="str">
        <f>"LPHN1"</f>
        <v>LPHN1</v>
      </c>
      <c r="B8985" t="s">
        <v>2</v>
      </c>
    </row>
    <row r="8986" spans="1:2" x14ac:dyDescent="0.2">
      <c r="A8986" t="str">
        <f>"LPHN2"</f>
        <v>LPHN2</v>
      </c>
      <c r="B8986" t="s">
        <v>5</v>
      </c>
    </row>
    <row r="8987" spans="1:2" x14ac:dyDescent="0.2">
      <c r="A8987" t="str">
        <f>"LPHN3"</f>
        <v>LPHN3</v>
      </c>
      <c r="B8987" t="s">
        <v>3</v>
      </c>
    </row>
    <row r="8988" spans="1:2" x14ac:dyDescent="0.2">
      <c r="A8988" t="str">
        <f>"LPIN1"</f>
        <v>LPIN1</v>
      </c>
      <c r="B8988" t="s">
        <v>2</v>
      </c>
    </row>
    <row r="8989" spans="1:2" x14ac:dyDescent="0.2">
      <c r="A8989" t="str">
        <f>"LPIN2"</f>
        <v>LPIN2</v>
      </c>
      <c r="B8989" t="s">
        <v>4</v>
      </c>
    </row>
    <row r="8990" spans="1:2" x14ac:dyDescent="0.2">
      <c r="A8990" t="str">
        <f>"LPIN3"</f>
        <v>LPIN3</v>
      </c>
      <c r="B8990" t="s">
        <v>2</v>
      </c>
    </row>
    <row r="8991" spans="1:2" x14ac:dyDescent="0.2">
      <c r="A8991" t="str">
        <f>"LPL"</f>
        <v>LPL</v>
      </c>
      <c r="B8991" t="s">
        <v>7</v>
      </c>
    </row>
    <row r="8992" spans="1:2" x14ac:dyDescent="0.2">
      <c r="A8992" t="str">
        <f>"LPO"</f>
        <v>LPO</v>
      </c>
      <c r="B8992" t="s">
        <v>3</v>
      </c>
    </row>
    <row r="8993" spans="1:2" x14ac:dyDescent="0.2">
      <c r="A8993" t="str">
        <f>"LPP"</f>
        <v>LPP</v>
      </c>
      <c r="B8993" t="s">
        <v>3</v>
      </c>
    </row>
    <row r="8994" spans="1:2" x14ac:dyDescent="0.2">
      <c r="A8994" t="str">
        <f>"LPPR1"</f>
        <v>LPPR1</v>
      </c>
      <c r="B8994" t="s">
        <v>5</v>
      </c>
    </row>
    <row r="8995" spans="1:2" x14ac:dyDescent="0.2">
      <c r="A8995" t="str">
        <f>"LPPR2"</f>
        <v>LPPR2</v>
      </c>
      <c r="B8995" t="s">
        <v>7</v>
      </c>
    </row>
    <row r="8996" spans="1:2" x14ac:dyDescent="0.2">
      <c r="A8996" t="str">
        <f>"LPPR3"</f>
        <v>LPPR3</v>
      </c>
      <c r="B8996" t="s">
        <v>5</v>
      </c>
    </row>
    <row r="8997" spans="1:2" x14ac:dyDescent="0.2">
      <c r="A8997" t="str">
        <f>"LPPR4"</f>
        <v>LPPR4</v>
      </c>
      <c r="B8997" t="s">
        <v>6</v>
      </c>
    </row>
    <row r="8998" spans="1:2" x14ac:dyDescent="0.2">
      <c r="A8998" t="str">
        <f>"LPPR5"</f>
        <v>LPPR5</v>
      </c>
      <c r="B8998" t="s">
        <v>4</v>
      </c>
    </row>
    <row r="8999" spans="1:2" x14ac:dyDescent="0.2">
      <c r="A8999" t="str">
        <f>"LPXN"</f>
        <v>LPXN</v>
      </c>
      <c r="B8999" t="s">
        <v>4</v>
      </c>
    </row>
    <row r="9000" spans="1:2" x14ac:dyDescent="0.2">
      <c r="A9000" t="str">
        <f>"LRAT"</f>
        <v>LRAT</v>
      </c>
      <c r="B9000" t="s">
        <v>7</v>
      </c>
    </row>
    <row r="9001" spans="1:2" x14ac:dyDescent="0.2">
      <c r="A9001" t="str">
        <f>"LRBA"</f>
        <v>LRBA</v>
      </c>
      <c r="B9001" t="s">
        <v>3</v>
      </c>
    </row>
    <row r="9002" spans="1:2" x14ac:dyDescent="0.2">
      <c r="A9002" t="str">
        <f>"LRCH1"</f>
        <v>LRCH1</v>
      </c>
      <c r="B9002" t="s">
        <v>5</v>
      </c>
    </row>
    <row r="9003" spans="1:2" x14ac:dyDescent="0.2">
      <c r="A9003" t="str">
        <f>"LRCH2"</f>
        <v>LRCH2</v>
      </c>
      <c r="B9003" t="s">
        <v>4</v>
      </c>
    </row>
    <row r="9004" spans="1:2" x14ac:dyDescent="0.2">
      <c r="A9004" t="str">
        <f>"LRCH3"</f>
        <v>LRCH3</v>
      </c>
      <c r="B9004" t="s">
        <v>5</v>
      </c>
    </row>
    <row r="9005" spans="1:2" x14ac:dyDescent="0.2">
      <c r="A9005" t="str">
        <f>"LRCH4"</f>
        <v>LRCH4</v>
      </c>
      <c r="B9005" t="s">
        <v>8</v>
      </c>
    </row>
    <row r="9006" spans="1:2" x14ac:dyDescent="0.2">
      <c r="A9006" t="str">
        <f>"LRCOL1"</f>
        <v>LRCOL1</v>
      </c>
      <c r="B9006" t="s">
        <v>4</v>
      </c>
    </row>
    <row r="9007" spans="1:2" x14ac:dyDescent="0.2">
      <c r="A9007" t="str">
        <f>"LRFN1"</f>
        <v>LRFN1</v>
      </c>
      <c r="B9007" t="s">
        <v>8</v>
      </c>
    </row>
    <row r="9008" spans="1:2" x14ac:dyDescent="0.2">
      <c r="A9008" t="str">
        <f>"LRFN2"</f>
        <v>LRFN2</v>
      </c>
      <c r="B9008" t="s">
        <v>5</v>
      </c>
    </row>
    <row r="9009" spans="1:2" x14ac:dyDescent="0.2">
      <c r="A9009" t="str">
        <f>"LRFN3"</f>
        <v>LRFN3</v>
      </c>
      <c r="B9009" t="s">
        <v>5</v>
      </c>
    </row>
    <row r="9010" spans="1:2" x14ac:dyDescent="0.2">
      <c r="A9010" t="str">
        <f>"LRFN4"</f>
        <v>LRFN4</v>
      </c>
      <c r="B9010" t="s">
        <v>5</v>
      </c>
    </row>
    <row r="9011" spans="1:2" x14ac:dyDescent="0.2">
      <c r="A9011" t="str">
        <f>"LRFN5"</f>
        <v>LRFN5</v>
      </c>
      <c r="B9011" t="s">
        <v>8</v>
      </c>
    </row>
    <row r="9012" spans="1:2" x14ac:dyDescent="0.2">
      <c r="A9012" t="str">
        <f>"LRG1"</f>
        <v>LRG1</v>
      </c>
      <c r="B9012" t="s">
        <v>4</v>
      </c>
    </row>
    <row r="9013" spans="1:2" x14ac:dyDescent="0.2">
      <c r="A9013" t="str">
        <f>"LRGUK"</f>
        <v>LRGUK</v>
      </c>
      <c r="B9013" t="s">
        <v>3</v>
      </c>
    </row>
    <row r="9014" spans="1:2" x14ac:dyDescent="0.2">
      <c r="A9014" t="str">
        <f>"LRIF1"</f>
        <v>LRIF1</v>
      </c>
      <c r="B9014" t="s">
        <v>2</v>
      </c>
    </row>
    <row r="9015" spans="1:2" x14ac:dyDescent="0.2">
      <c r="A9015" t="str">
        <f>"LRIG1"</f>
        <v>LRIG1</v>
      </c>
      <c r="B9015" t="s">
        <v>5</v>
      </c>
    </row>
    <row r="9016" spans="1:2" x14ac:dyDescent="0.2">
      <c r="A9016" t="str">
        <f>"LRIG2"</f>
        <v>LRIG2</v>
      </c>
      <c r="B9016" t="s">
        <v>5</v>
      </c>
    </row>
    <row r="9017" spans="1:2" x14ac:dyDescent="0.2">
      <c r="A9017" t="str">
        <f>"LRIG3"</f>
        <v>LRIG3</v>
      </c>
      <c r="B9017" t="s">
        <v>5</v>
      </c>
    </row>
    <row r="9018" spans="1:2" x14ac:dyDescent="0.2">
      <c r="A9018" t="str">
        <f>"LRIT1"</f>
        <v>LRIT1</v>
      </c>
      <c r="B9018" t="s">
        <v>2</v>
      </c>
    </row>
    <row r="9019" spans="1:2" x14ac:dyDescent="0.2">
      <c r="A9019" t="str">
        <f>"LRIT2"</f>
        <v>LRIT2</v>
      </c>
      <c r="B9019" t="s">
        <v>5</v>
      </c>
    </row>
    <row r="9020" spans="1:2" x14ac:dyDescent="0.2">
      <c r="A9020" t="str">
        <f>"LRIT3"</f>
        <v>LRIT3</v>
      </c>
      <c r="B9020" t="s">
        <v>5</v>
      </c>
    </row>
    <row r="9021" spans="1:2" x14ac:dyDescent="0.2">
      <c r="A9021" t="str">
        <f>"LRMP"</f>
        <v>LRMP</v>
      </c>
      <c r="B9021" t="s">
        <v>2</v>
      </c>
    </row>
    <row r="9022" spans="1:2" x14ac:dyDescent="0.2">
      <c r="A9022" t="str">
        <f>"LRP1"</f>
        <v>LRP1</v>
      </c>
      <c r="B9022" t="s">
        <v>7</v>
      </c>
    </row>
    <row r="9023" spans="1:2" x14ac:dyDescent="0.2">
      <c r="A9023" t="str">
        <f>"LRP10"</f>
        <v>LRP10</v>
      </c>
      <c r="B9023" t="s">
        <v>2</v>
      </c>
    </row>
    <row r="9024" spans="1:2" x14ac:dyDescent="0.2">
      <c r="A9024" t="str">
        <f>"LRP11"</f>
        <v>LRP11</v>
      </c>
      <c r="B9024" t="s">
        <v>6</v>
      </c>
    </row>
    <row r="9025" spans="1:2" x14ac:dyDescent="0.2">
      <c r="A9025" t="str">
        <f>"LRP12"</f>
        <v>LRP12</v>
      </c>
      <c r="B9025" t="s">
        <v>2</v>
      </c>
    </row>
    <row r="9026" spans="1:2" x14ac:dyDescent="0.2">
      <c r="A9026" t="str">
        <f>"LRP1B"</f>
        <v>LRP1B</v>
      </c>
      <c r="B9026" t="s">
        <v>3</v>
      </c>
    </row>
    <row r="9027" spans="1:2" x14ac:dyDescent="0.2">
      <c r="A9027" t="str">
        <f>"LRP2"</f>
        <v>LRP2</v>
      </c>
      <c r="B9027" t="s">
        <v>3</v>
      </c>
    </row>
    <row r="9028" spans="1:2" x14ac:dyDescent="0.2">
      <c r="A9028" t="str">
        <f>"LRP2BP"</f>
        <v>LRP2BP</v>
      </c>
      <c r="B9028" t="s">
        <v>4</v>
      </c>
    </row>
    <row r="9029" spans="1:2" x14ac:dyDescent="0.2">
      <c r="A9029" t="str">
        <f>"LRP3"</f>
        <v>LRP3</v>
      </c>
      <c r="B9029" t="s">
        <v>2</v>
      </c>
    </row>
    <row r="9030" spans="1:2" x14ac:dyDescent="0.2">
      <c r="A9030" t="str">
        <f>"LRP4"</f>
        <v>LRP4</v>
      </c>
      <c r="B9030" t="s">
        <v>2</v>
      </c>
    </row>
    <row r="9031" spans="1:2" x14ac:dyDescent="0.2">
      <c r="A9031" t="str">
        <f>"LRP5"</f>
        <v>LRP5</v>
      </c>
      <c r="B9031" t="s">
        <v>3</v>
      </c>
    </row>
    <row r="9032" spans="1:2" x14ac:dyDescent="0.2">
      <c r="A9032" t="str">
        <f>"LRP5L"</f>
        <v>LRP5L</v>
      </c>
      <c r="B9032" t="s">
        <v>4</v>
      </c>
    </row>
    <row r="9033" spans="1:2" x14ac:dyDescent="0.2">
      <c r="A9033" t="str">
        <f>"LRP6"</f>
        <v>LRP6</v>
      </c>
      <c r="B9033" t="s">
        <v>3</v>
      </c>
    </row>
    <row r="9034" spans="1:2" x14ac:dyDescent="0.2">
      <c r="A9034" t="str">
        <f>"LRP8"</f>
        <v>LRP8</v>
      </c>
      <c r="B9034" t="s">
        <v>2</v>
      </c>
    </row>
    <row r="9035" spans="1:2" x14ac:dyDescent="0.2">
      <c r="A9035" t="str">
        <f>"LRPAP1"</f>
        <v>LRPAP1</v>
      </c>
      <c r="B9035" t="s">
        <v>2</v>
      </c>
    </row>
    <row r="9036" spans="1:2" x14ac:dyDescent="0.2">
      <c r="A9036" t="str">
        <f>"LRPPRC"</f>
        <v>LRPPRC</v>
      </c>
      <c r="B9036" t="s">
        <v>3</v>
      </c>
    </row>
    <row r="9037" spans="1:2" x14ac:dyDescent="0.2">
      <c r="A9037" t="str">
        <f>"LRR1"</f>
        <v>LRR1</v>
      </c>
      <c r="B9037" t="s">
        <v>4</v>
      </c>
    </row>
    <row r="9038" spans="1:2" x14ac:dyDescent="0.2">
      <c r="A9038" t="str">
        <f>"LRRC1"</f>
        <v>LRRC1</v>
      </c>
      <c r="B9038" t="s">
        <v>4</v>
      </c>
    </row>
    <row r="9039" spans="1:2" x14ac:dyDescent="0.2">
      <c r="A9039" t="str">
        <f>"LRRC10"</f>
        <v>LRRC10</v>
      </c>
      <c r="B9039" t="s">
        <v>6</v>
      </c>
    </row>
    <row r="9040" spans="1:2" x14ac:dyDescent="0.2">
      <c r="A9040" t="str">
        <f>"LRRC10B"</f>
        <v>LRRC10B</v>
      </c>
      <c r="B9040" t="s">
        <v>4</v>
      </c>
    </row>
    <row r="9041" spans="1:2" x14ac:dyDescent="0.2">
      <c r="A9041" t="str">
        <f>"LRRC14"</f>
        <v>LRRC14</v>
      </c>
      <c r="B9041" t="s">
        <v>2</v>
      </c>
    </row>
    <row r="9042" spans="1:2" x14ac:dyDescent="0.2">
      <c r="A9042" t="str">
        <f>"LRRC14B"</f>
        <v>LRRC14B</v>
      </c>
      <c r="B9042" t="s">
        <v>4</v>
      </c>
    </row>
    <row r="9043" spans="1:2" x14ac:dyDescent="0.2">
      <c r="A9043" t="str">
        <f>"LRRC15"</f>
        <v>LRRC15</v>
      </c>
      <c r="B9043" t="s">
        <v>5</v>
      </c>
    </row>
    <row r="9044" spans="1:2" x14ac:dyDescent="0.2">
      <c r="A9044" t="str">
        <f>"LRRC16A"</f>
        <v>LRRC16A</v>
      </c>
      <c r="B9044" t="s">
        <v>3</v>
      </c>
    </row>
    <row r="9045" spans="1:2" x14ac:dyDescent="0.2">
      <c r="A9045" t="str">
        <f>"LRRC16B"</f>
        <v>LRRC16B</v>
      </c>
      <c r="B9045" t="s">
        <v>4</v>
      </c>
    </row>
    <row r="9046" spans="1:2" x14ac:dyDescent="0.2">
      <c r="A9046" t="str">
        <f>"LRRC17"</f>
        <v>LRRC17</v>
      </c>
      <c r="B9046" t="s">
        <v>4</v>
      </c>
    </row>
    <row r="9047" spans="1:2" x14ac:dyDescent="0.2">
      <c r="A9047" t="str">
        <f>"LRRC18"</f>
        <v>LRRC18</v>
      </c>
      <c r="B9047" t="s">
        <v>4</v>
      </c>
    </row>
    <row r="9048" spans="1:2" x14ac:dyDescent="0.2">
      <c r="A9048" t="str">
        <f>"LRRC19"</f>
        <v>LRRC19</v>
      </c>
      <c r="B9048" t="s">
        <v>5</v>
      </c>
    </row>
    <row r="9049" spans="1:2" x14ac:dyDescent="0.2">
      <c r="A9049" t="str">
        <f>"LRRC2"</f>
        <v>LRRC2</v>
      </c>
      <c r="B9049" t="s">
        <v>8</v>
      </c>
    </row>
    <row r="9050" spans="1:2" x14ac:dyDescent="0.2">
      <c r="A9050" t="str">
        <f>"LRRC20"</f>
        <v>LRRC20</v>
      </c>
      <c r="B9050" t="s">
        <v>4</v>
      </c>
    </row>
    <row r="9051" spans="1:2" x14ac:dyDescent="0.2">
      <c r="A9051" t="str">
        <f>"LRRC23"</f>
        <v>LRRC23</v>
      </c>
      <c r="B9051" t="s">
        <v>4</v>
      </c>
    </row>
    <row r="9052" spans="1:2" x14ac:dyDescent="0.2">
      <c r="A9052" t="str">
        <f>"LRRC24"</f>
        <v>LRRC24</v>
      </c>
      <c r="B9052" t="s">
        <v>6</v>
      </c>
    </row>
    <row r="9053" spans="1:2" x14ac:dyDescent="0.2">
      <c r="A9053" t="str">
        <f>"LRRC25"</f>
        <v>LRRC25</v>
      </c>
      <c r="B9053" t="s">
        <v>5</v>
      </c>
    </row>
    <row r="9054" spans="1:2" x14ac:dyDescent="0.2">
      <c r="A9054" t="str">
        <f>"LRRC26"</f>
        <v>LRRC26</v>
      </c>
      <c r="B9054" t="s">
        <v>6</v>
      </c>
    </row>
    <row r="9055" spans="1:2" x14ac:dyDescent="0.2">
      <c r="A9055" t="str">
        <f>"LRRC27"</f>
        <v>LRRC27</v>
      </c>
      <c r="B9055" t="s">
        <v>2</v>
      </c>
    </row>
    <row r="9056" spans="1:2" x14ac:dyDescent="0.2">
      <c r="A9056" t="str">
        <f>"LRRC28"</f>
        <v>LRRC28</v>
      </c>
      <c r="B9056" t="s">
        <v>4</v>
      </c>
    </row>
    <row r="9057" spans="1:2" x14ac:dyDescent="0.2">
      <c r="A9057" t="str">
        <f>"LRRC29"</f>
        <v>LRRC29</v>
      </c>
      <c r="B9057" t="s">
        <v>2</v>
      </c>
    </row>
    <row r="9058" spans="1:2" x14ac:dyDescent="0.2">
      <c r="A9058" t="str">
        <f>"LRRC3"</f>
        <v>LRRC3</v>
      </c>
      <c r="B9058" t="s">
        <v>5</v>
      </c>
    </row>
    <row r="9059" spans="1:2" x14ac:dyDescent="0.2">
      <c r="A9059" t="str">
        <f>"LRRC30"</f>
        <v>LRRC30</v>
      </c>
      <c r="B9059" t="s">
        <v>4</v>
      </c>
    </row>
    <row r="9060" spans="1:2" x14ac:dyDescent="0.2">
      <c r="A9060" t="str">
        <f>"LRRC31"</f>
        <v>LRRC31</v>
      </c>
      <c r="B9060" t="s">
        <v>4</v>
      </c>
    </row>
    <row r="9061" spans="1:2" x14ac:dyDescent="0.2">
      <c r="A9061" t="str">
        <f>"LRRC32"</f>
        <v>LRRC32</v>
      </c>
      <c r="B9061" t="s">
        <v>5</v>
      </c>
    </row>
    <row r="9062" spans="1:2" x14ac:dyDescent="0.2">
      <c r="A9062" t="str">
        <f>"LRRC34"</f>
        <v>LRRC34</v>
      </c>
      <c r="B9062" t="s">
        <v>2</v>
      </c>
    </row>
    <row r="9063" spans="1:2" x14ac:dyDescent="0.2">
      <c r="A9063" t="str">
        <f>"LRRC36"</f>
        <v>LRRC36</v>
      </c>
      <c r="B9063" t="s">
        <v>4</v>
      </c>
    </row>
    <row r="9064" spans="1:2" x14ac:dyDescent="0.2">
      <c r="A9064" t="str">
        <f>"LRRC37A2"</f>
        <v>LRRC37A2</v>
      </c>
      <c r="B9064" t="s">
        <v>5</v>
      </c>
    </row>
    <row r="9065" spans="1:2" x14ac:dyDescent="0.2">
      <c r="A9065" t="str">
        <f>"LRRC37A3"</f>
        <v>LRRC37A3</v>
      </c>
      <c r="B9065" t="s">
        <v>5</v>
      </c>
    </row>
    <row r="9066" spans="1:2" x14ac:dyDescent="0.2">
      <c r="A9066" t="str">
        <f>"LRRC37B"</f>
        <v>LRRC37B</v>
      </c>
      <c r="B9066" t="s">
        <v>5</v>
      </c>
    </row>
    <row r="9067" spans="1:2" x14ac:dyDescent="0.2">
      <c r="A9067" t="str">
        <f>"LRRC38"</f>
        <v>LRRC38</v>
      </c>
      <c r="B9067" t="s">
        <v>5</v>
      </c>
    </row>
    <row r="9068" spans="1:2" x14ac:dyDescent="0.2">
      <c r="A9068" t="str">
        <f>"LRRC39"</f>
        <v>LRRC39</v>
      </c>
      <c r="B9068" t="s">
        <v>4</v>
      </c>
    </row>
    <row r="9069" spans="1:2" x14ac:dyDescent="0.2">
      <c r="A9069" t="str">
        <f>"LRRC3B"</f>
        <v>LRRC3B</v>
      </c>
      <c r="B9069" t="s">
        <v>5</v>
      </c>
    </row>
    <row r="9070" spans="1:2" x14ac:dyDescent="0.2">
      <c r="A9070" t="str">
        <f>"LRRC3C"</f>
        <v>LRRC3C</v>
      </c>
      <c r="B9070" t="s">
        <v>5</v>
      </c>
    </row>
    <row r="9071" spans="1:2" x14ac:dyDescent="0.2">
      <c r="A9071" t="str">
        <f>"LRRC4"</f>
        <v>LRRC4</v>
      </c>
      <c r="B9071" t="s">
        <v>5</v>
      </c>
    </row>
    <row r="9072" spans="1:2" x14ac:dyDescent="0.2">
      <c r="A9072" t="str">
        <f>"LRRC40"</f>
        <v>LRRC40</v>
      </c>
      <c r="B9072" t="s">
        <v>4</v>
      </c>
    </row>
    <row r="9073" spans="1:2" x14ac:dyDescent="0.2">
      <c r="A9073" t="str">
        <f>"LRRC41"</f>
        <v>LRRC41</v>
      </c>
      <c r="B9073" t="s">
        <v>3</v>
      </c>
    </row>
    <row r="9074" spans="1:2" x14ac:dyDescent="0.2">
      <c r="A9074" t="str">
        <f>"LRRC42"</f>
        <v>LRRC42</v>
      </c>
      <c r="B9074" t="s">
        <v>4</v>
      </c>
    </row>
    <row r="9075" spans="1:2" x14ac:dyDescent="0.2">
      <c r="A9075" t="str">
        <f>"LRRC43"</f>
        <v>LRRC43</v>
      </c>
      <c r="B9075" t="s">
        <v>4</v>
      </c>
    </row>
    <row r="9076" spans="1:2" x14ac:dyDescent="0.2">
      <c r="A9076" t="str">
        <f>"LRRC45"</f>
        <v>LRRC45</v>
      </c>
      <c r="B9076" t="s">
        <v>2</v>
      </c>
    </row>
    <row r="9077" spans="1:2" x14ac:dyDescent="0.2">
      <c r="A9077" t="str">
        <f>"LRRC46"</f>
        <v>LRRC46</v>
      </c>
      <c r="B9077" t="s">
        <v>4</v>
      </c>
    </row>
    <row r="9078" spans="1:2" x14ac:dyDescent="0.2">
      <c r="A9078" t="str">
        <f>"LRRC47"</f>
        <v>LRRC47</v>
      </c>
      <c r="B9078" t="s">
        <v>8</v>
      </c>
    </row>
    <row r="9079" spans="1:2" x14ac:dyDescent="0.2">
      <c r="A9079" t="str">
        <f>"LRRC48"</f>
        <v>LRRC48</v>
      </c>
      <c r="B9079" t="s">
        <v>2</v>
      </c>
    </row>
    <row r="9080" spans="1:2" x14ac:dyDescent="0.2">
      <c r="A9080" t="str">
        <f>"LRRC49"</f>
        <v>LRRC49</v>
      </c>
      <c r="B9080" t="s">
        <v>6</v>
      </c>
    </row>
    <row r="9081" spans="1:2" x14ac:dyDescent="0.2">
      <c r="A9081" t="str">
        <f>"LRRC4B"</f>
        <v>LRRC4B</v>
      </c>
      <c r="B9081" t="s">
        <v>5</v>
      </c>
    </row>
    <row r="9082" spans="1:2" x14ac:dyDescent="0.2">
      <c r="A9082" t="str">
        <f>"LRRC4C"</f>
        <v>LRRC4C</v>
      </c>
      <c r="B9082" t="s">
        <v>5</v>
      </c>
    </row>
    <row r="9083" spans="1:2" x14ac:dyDescent="0.2">
      <c r="A9083" t="str">
        <f>"LRRC52"</f>
        <v>LRRC52</v>
      </c>
      <c r="B9083" t="s">
        <v>5</v>
      </c>
    </row>
    <row r="9084" spans="1:2" x14ac:dyDescent="0.2">
      <c r="A9084" t="str">
        <f>"LRRC53"</f>
        <v>LRRC53</v>
      </c>
      <c r="B9084" t="s">
        <v>5</v>
      </c>
    </row>
    <row r="9085" spans="1:2" x14ac:dyDescent="0.2">
      <c r="A9085" t="str">
        <f>"LRRC55"</f>
        <v>LRRC55</v>
      </c>
      <c r="B9085" t="s">
        <v>5</v>
      </c>
    </row>
    <row r="9086" spans="1:2" x14ac:dyDescent="0.2">
      <c r="A9086" t="str">
        <f>"LRRC56"</f>
        <v>LRRC56</v>
      </c>
      <c r="B9086" t="s">
        <v>4</v>
      </c>
    </row>
    <row r="9087" spans="1:2" x14ac:dyDescent="0.2">
      <c r="A9087" t="str">
        <f>"LRRC57"</f>
        <v>LRRC57</v>
      </c>
      <c r="B9087" t="s">
        <v>4</v>
      </c>
    </row>
    <row r="9088" spans="1:2" x14ac:dyDescent="0.2">
      <c r="A9088" t="str">
        <f>"LRRC58"</f>
        <v>LRRC58</v>
      </c>
      <c r="B9088" t="s">
        <v>4</v>
      </c>
    </row>
    <row r="9089" spans="1:2" x14ac:dyDescent="0.2">
      <c r="A9089" t="str">
        <f>"LRRC59"</f>
        <v>LRRC59</v>
      </c>
      <c r="B9089" t="s">
        <v>2</v>
      </c>
    </row>
    <row r="9090" spans="1:2" x14ac:dyDescent="0.2">
      <c r="A9090" t="str">
        <f>"LRRC6"</f>
        <v>LRRC6</v>
      </c>
      <c r="B9090" t="s">
        <v>4</v>
      </c>
    </row>
    <row r="9091" spans="1:2" x14ac:dyDescent="0.2">
      <c r="A9091" t="str">
        <f>"LRRC61"</f>
        <v>LRRC61</v>
      </c>
      <c r="B9091" t="s">
        <v>4</v>
      </c>
    </row>
    <row r="9092" spans="1:2" x14ac:dyDescent="0.2">
      <c r="A9092" t="str">
        <f>"LRRC63"</f>
        <v>LRRC63</v>
      </c>
      <c r="B9092" t="s">
        <v>8</v>
      </c>
    </row>
    <row r="9093" spans="1:2" x14ac:dyDescent="0.2">
      <c r="A9093" t="str">
        <f>"LRRC66"</f>
        <v>LRRC66</v>
      </c>
      <c r="B9093" t="s">
        <v>5</v>
      </c>
    </row>
    <row r="9094" spans="1:2" x14ac:dyDescent="0.2">
      <c r="A9094" t="str">
        <f>"LRRC69"</f>
        <v>LRRC69</v>
      </c>
      <c r="B9094" t="s">
        <v>4</v>
      </c>
    </row>
    <row r="9095" spans="1:2" x14ac:dyDescent="0.2">
      <c r="A9095" t="str">
        <f>"LRRC7"</f>
        <v>LRRC7</v>
      </c>
      <c r="B9095" t="s">
        <v>3</v>
      </c>
    </row>
    <row r="9096" spans="1:2" x14ac:dyDescent="0.2">
      <c r="A9096" t="str">
        <f>"LRRC70"</f>
        <v>LRRC70</v>
      </c>
      <c r="B9096" t="s">
        <v>4</v>
      </c>
    </row>
    <row r="9097" spans="1:2" x14ac:dyDescent="0.2">
      <c r="A9097" t="str">
        <f>"LRRC71"</f>
        <v>LRRC71</v>
      </c>
      <c r="B9097" t="s">
        <v>4</v>
      </c>
    </row>
    <row r="9098" spans="1:2" x14ac:dyDescent="0.2">
      <c r="A9098" t="str">
        <f>"LRRC72"</f>
        <v>LRRC72</v>
      </c>
      <c r="B9098" t="s">
        <v>4</v>
      </c>
    </row>
    <row r="9099" spans="1:2" x14ac:dyDescent="0.2">
      <c r="A9099" t="str">
        <f>"LRRC73"</f>
        <v>LRRC73</v>
      </c>
      <c r="B9099" t="s">
        <v>4</v>
      </c>
    </row>
    <row r="9100" spans="1:2" x14ac:dyDescent="0.2">
      <c r="A9100" t="str">
        <f>"LRRC8A"</f>
        <v>LRRC8A</v>
      </c>
      <c r="B9100" t="s">
        <v>2</v>
      </c>
    </row>
    <row r="9101" spans="1:2" x14ac:dyDescent="0.2">
      <c r="A9101" t="str">
        <f>"LRRC8B"</f>
        <v>LRRC8B</v>
      </c>
      <c r="B9101" t="s">
        <v>6</v>
      </c>
    </row>
    <row r="9102" spans="1:2" x14ac:dyDescent="0.2">
      <c r="A9102" t="str">
        <f>"LRRC8C"</f>
        <v>LRRC8C</v>
      </c>
      <c r="B9102" t="s">
        <v>5</v>
      </c>
    </row>
    <row r="9103" spans="1:2" x14ac:dyDescent="0.2">
      <c r="A9103" t="str">
        <f>"LRRC8D"</f>
        <v>LRRC8D</v>
      </c>
      <c r="B9103" t="s">
        <v>5</v>
      </c>
    </row>
    <row r="9104" spans="1:2" x14ac:dyDescent="0.2">
      <c r="A9104" t="str">
        <f>"LRRC8E"</f>
        <v>LRRC8E</v>
      </c>
      <c r="B9104" t="s">
        <v>5</v>
      </c>
    </row>
    <row r="9105" spans="1:2" x14ac:dyDescent="0.2">
      <c r="A9105" t="str">
        <f>"LRRCC1"</f>
        <v>LRRCC1</v>
      </c>
      <c r="B9105" t="s">
        <v>4</v>
      </c>
    </row>
    <row r="9106" spans="1:2" x14ac:dyDescent="0.2">
      <c r="A9106" t="str">
        <f>"LRRD1"</f>
        <v>LRRD1</v>
      </c>
      <c r="B9106" t="s">
        <v>4</v>
      </c>
    </row>
    <row r="9107" spans="1:2" x14ac:dyDescent="0.2">
      <c r="A9107" t="str">
        <f>"LRRFIP1"</f>
        <v>LRRFIP1</v>
      </c>
      <c r="B9107" t="s">
        <v>8</v>
      </c>
    </row>
    <row r="9108" spans="1:2" x14ac:dyDescent="0.2">
      <c r="A9108" t="str">
        <f>"LRRFIP2"</f>
        <v>LRRFIP2</v>
      </c>
      <c r="B9108" t="s">
        <v>4</v>
      </c>
    </row>
    <row r="9109" spans="1:2" x14ac:dyDescent="0.2">
      <c r="A9109" t="str">
        <f>"LRRIQ1"</f>
        <v>LRRIQ1</v>
      </c>
      <c r="B9109" t="s">
        <v>4</v>
      </c>
    </row>
    <row r="9110" spans="1:2" x14ac:dyDescent="0.2">
      <c r="A9110" t="str">
        <f>"LRRIQ3"</f>
        <v>LRRIQ3</v>
      </c>
      <c r="B9110" t="s">
        <v>4</v>
      </c>
    </row>
    <row r="9111" spans="1:2" x14ac:dyDescent="0.2">
      <c r="A9111" t="str">
        <f>"LRRIQ4"</f>
        <v>LRRIQ4</v>
      </c>
      <c r="B9111" t="s">
        <v>4</v>
      </c>
    </row>
    <row r="9112" spans="1:2" x14ac:dyDescent="0.2">
      <c r="A9112" t="str">
        <f>"LRRK1"</f>
        <v>LRRK1</v>
      </c>
      <c r="B9112" t="s">
        <v>7</v>
      </c>
    </row>
    <row r="9113" spans="1:2" x14ac:dyDescent="0.2">
      <c r="A9113" t="str">
        <f>"LRRK2"</f>
        <v>LRRK2</v>
      </c>
      <c r="B9113" t="s">
        <v>7</v>
      </c>
    </row>
    <row r="9114" spans="1:2" x14ac:dyDescent="0.2">
      <c r="A9114" t="str">
        <f>"LRRN1"</f>
        <v>LRRN1</v>
      </c>
      <c r="B9114" t="s">
        <v>5</v>
      </c>
    </row>
    <row r="9115" spans="1:2" x14ac:dyDescent="0.2">
      <c r="A9115" t="str">
        <f>"LRRN2"</f>
        <v>LRRN2</v>
      </c>
      <c r="B9115" t="s">
        <v>5</v>
      </c>
    </row>
    <row r="9116" spans="1:2" x14ac:dyDescent="0.2">
      <c r="A9116" t="str">
        <f>"LRRN3"</f>
        <v>LRRN3</v>
      </c>
      <c r="B9116" t="s">
        <v>6</v>
      </c>
    </row>
    <row r="9117" spans="1:2" x14ac:dyDescent="0.2">
      <c r="A9117" t="str">
        <f>"LRRN4"</f>
        <v>LRRN4</v>
      </c>
      <c r="B9117" t="s">
        <v>5</v>
      </c>
    </row>
    <row r="9118" spans="1:2" x14ac:dyDescent="0.2">
      <c r="A9118" t="str">
        <f>"LRRN4CL"</f>
        <v>LRRN4CL</v>
      </c>
      <c r="B9118" t="s">
        <v>5</v>
      </c>
    </row>
    <row r="9119" spans="1:2" x14ac:dyDescent="0.2">
      <c r="A9119" t="str">
        <f>"LRRTM1"</f>
        <v>LRRTM1</v>
      </c>
      <c r="B9119" t="s">
        <v>5</v>
      </c>
    </row>
    <row r="9120" spans="1:2" x14ac:dyDescent="0.2">
      <c r="A9120" t="str">
        <f>"LRRTM2"</f>
        <v>LRRTM2</v>
      </c>
      <c r="B9120" t="s">
        <v>5</v>
      </c>
    </row>
    <row r="9121" spans="1:2" x14ac:dyDescent="0.2">
      <c r="A9121" t="str">
        <f>"LRRTM3"</f>
        <v>LRRTM3</v>
      </c>
      <c r="B9121" t="s">
        <v>4</v>
      </c>
    </row>
    <row r="9122" spans="1:2" x14ac:dyDescent="0.2">
      <c r="A9122" t="str">
        <f>"LRRTM4"</f>
        <v>LRRTM4</v>
      </c>
      <c r="B9122" t="s">
        <v>5</v>
      </c>
    </row>
    <row r="9123" spans="1:2" x14ac:dyDescent="0.2">
      <c r="A9123" t="str">
        <f>"LRSAM1"</f>
        <v>LRSAM1</v>
      </c>
      <c r="B9123" t="s">
        <v>2</v>
      </c>
    </row>
    <row r="9124" spans="1:2" x14ac:dyDescent="0.2">
      <c r="A9124" t="str">
        <f>"LRTM1"</f>
        <v>LRTM1</v>
      </c>
      <c r="B9124" t="s">
        <v>5</v>
      </c>
    </row>
    <row r="9125" spans="1:2" x14ac:dyDescent="0.2">
      <c r="A9125" t="str">
        <f>"LRTM2"</f>
        <v>LRTM2</v>
      </c>
      <c r="B9125" t="s">
        <v>5</v>
      </c>
    </row>
    <row r="9126" spans="1:2" x14ac:dyDescent="0.2">
      <c r="A9126" t="str">
        <f>"LRTOMT"</f>
        <v>LRTOMT</v>
      </c>
      <c r="B9126" t="s">
        <v>4</v>
      </c>
    </row>
    <row r="9127" spans="1:2" x14ac:dyDescent="0.2">
      <c r="A9127" t="str">
        <f>"LRWD1"</f>
        <v>LRWD1</v>
      </c>
      <c r="B9127" t="s">
        <v>4</v>
      </c>
    </row>
    <row r="9128" spans="1:2" x14ac:dyDescent="0.2">
      <c r="A9128" t="str">
        <f>"LSAMP"</f>
        <v>LSAMP</v>
      </c>
      <c r="B9128" t="s">
        <v>5</v>
      </c>
    </row>
    <row r="9129" spans="1:2" x14ac:dyDescent="0.2">
      <c r="A9129" t="str">
        <f>"LSG1"</f>
        <v>LSG1</v>
      </c>
      <c r="B9129" t="s">
        <v>8</v>
      </c>
    </row>
    <row r="9130" spans="1:2" x14ac:dyDescent="0.2">
      <c r="A9130" t="str">
        <f>"LSM1"</f>
        <v>LSM1</v>
      </c>
      <c r="B9130" t="s">
        <v>8</v>
      </c>
    </row>
    <row r="9131" spans="1:2" x14ac:dyDescent="0.2">
      <c r="A9131" t="str">
        <f>"LSM10"</f>
        <v>LSM10</v>
      </c>
      <c r="B9131" t="s">
        <v>8</v>
      </c>
    </row>
    <row r="9132" spans="1:2" x14ac:dyDescent="0.2">
      <c r="A9132" t="str">
        <f>"LSM11"</f>
        <v>LSM11</v>
      </c>
      <c r="B9132" t="s">
        <v>8</v>
      </c>
    </row>
    <row r="9133" spans="1:2" x14ac:dyDescent="0.2">
      <c r="A9133" t="str">
        <f>"LSM12"</f>
        <v>LSM12</v>
      </c>
      <c r="B9133" t="s">
        <v>4</v>
      </c>
    </row>
    <row r="9134" spans="1:2" x14ac:dyDescent="0.2">
      <c r="A9134" t="str">
        <f>"LSM14A"</f>
        <v>LSM14A</v>
      </c>
      <c r="B9134" t="s">
        <v>3</v>
      </c>
    </row>
    <row r="9135" spans="1:2" x14ac:dyDescent="0.2">
      <c r="A9135" t="str">
        <f>"LSM14B"</f>
        <v>LSM14B</v>
      </c>
      <c r="B9135" t="s">
        <v>2</v>
      </c>
    </row>
    <row r="9136" spans="1:2" x14ac:dyDescent="0.2">
      <c r="A9136" t="str">
        <f>"LSM2"</f>
        <v>LSM2</v>
      </c>
      <c r="B9136" t="s">
        <v>8</v>
      </c>
    </row>
    <row r="9137" spans="1:2" x14ac:dyDescent="0.2">
      <c r="A9137" t="str">
        <f>"LSM3"</f>
        <v>LSM3</v>
      </c>
      <c r="B9137" t="s">
        <v>3</v>
      </c>
    </row>
    <row r="9138" spans="1:2" x14ac:dyDescent="0.2">
      <c r="A9138" t="str">
        <f>"LSM4"</f>
        <v>LSM4</v>
      </c>
      <c r="B9138" t="s">
        <v>8</v>
      </c>
    </row>
    <row r="9139" spans="1:2" x14ac:dyDescent="0.2">
      <c r="A9139" t="str">
        <f>"LSM5"</f>
        <v>LSM5</v>
      </c>
      <c r="B9139" t="s">
        <v>8</v>
      </c>
    </row>
    <row r="9140" spans="1:2" x14ac:dyDescent="0.2">
      <c r="A9140" t="str">
        <f>"LSM6"</f>
        <v>LSM6</v>
      </c>
      <c r="B9140" t="s">
        <v>7</v>
      </c>
    </row>
    <row r="9141" spans="1:2" x14ac:dyDescent="0.2">
      <c r="A9141" t="str">
        <f>"LSM7"</f>
        <v>LSM7</v>
      </c>
      <c r="B9141" t="s">
        <v>8</v>
      </c>
    </row>
    <row r="9142" spans="1:2" x14ac:dyDescent="0.2">
      <c r="A9142" t="str">
        <f>"LSMEM1"</f>
        <v>LSMEM1</v>
      </c>
      <c r="B9142" t="s">
        <v>5</v>
      </c>
    </row>
    <row r="9143" spans="1:2" x14ac:dyDescent="0.2">
      <c r="A9143" t="str">
        <f>"LSMEM2"</f>
        <v>LSMEM2</v>
      </c>
      <c r="B9143" t="s">
        <v>5</v>
      </c>
    </row>
    <row r="9144" spans="1:2" x14ac:dyDescent="0.2">
      <c r="A9144" t="str">
        <f>"LSP1"</f>
        <v>LSP1</v>
      </c>
      <c r="B9144" t="s">
        <v>6</v>
      </c>
    </row>
    <row r="9145" spans="1:2" x14ac:dyDescent="0.2">
      <c r="A9145" t="str">
        <f>"LSR"</f>
        <v>LSR</v>
      </c>
      <c r="B9145" t="s">
        <v>6</v>
      </c>
    </row>
    <row r="9146" spans="1:2" x14ac:dyDescent="0.2">
      <c r="A9146" t="str">
        <f>"LSS"</f>
        <v>LSS</v>
      </c>
      <c r="B9146" t="s">
        <v>7</v>
      </c>
    </row>
    <row r="9147" spans="1:2" x14ac:dyDescent="0.2">
      <c r="A9147" t="str">
        <f>"LST1"</f>
        <v>LST1</v>
      </c>
      <c r="B9147" t="s">
        <v>5</v>
      </c>
    </row>
    <row r="9148" spans="1:2" x14ac:dyDescent="0.2">
      <c r="A9148" t="str">
        <f>"LTA"</f>
        <v>LTA</v>
      </c>
      <c r="B9148" t="s">
        <v>7</v>
      </c>
    </row>
    <row r="9149" spans="1:2" x14ac:dyDescent="0.2">
      <c r="A9149" t="str">
        <f>"LTA4H"</f>
        <v>LTA4H</v>
      </c>
      <c r="B9149" t="s">
        <v>7</v>
      </c>
    </row>
    <row r="9150" spans="1:2" x14ac:dyDescent="0.2">
      <c r="A9150" t="str">
        <f>"LTB"</f>
        <v>LTB</v>
      </c>
      <c r="B9150" t="s">
        <v>3</v>
      </c>
    </row>
    <row r="9151" spans="1:2" x14ac:dyDescent="0.2">
      <c r="A9151" t="str">
        <f>"LTB4R"</f>
        <v>LTB4R</v>
      </c>
      <c r="B9151" t="s">
        <v>5</v>
      </c>
    </row>
    <row r="9152" spans="1:2" x14ac:dyDescent="0.2">
      <c r="A9152" t="str">
        <f>"LTB4R2"</f>
        <v>LTB4R2</v>
      </c>
      <c r="B9152" t="s">
        <v>5</v>
      </c>
    </row>
    <row r="9153" spans="1:2" x14ac:dyDescent="0.2">
      <c r="A9153" t="str">
        <f>"LTBP1"</f>
        <v>LTBP1</v>
      </c>
      <c r="B9153" t="s">
        <v>3</v>
      </c>
    </row>
    <row r="9154" spans="1:2" x14ac:dyDescent="0.2">
      <c r="A9154" t="str">
        <f>"LTBP2"</f>
        <v>LTBP2</v>
      </c>
      <c r="B9154" t="s">
        <v>5</v>
      </c>
    </row>
    <row r="9155" spans="1:2" x14ac:dyDescent="0.2">
      <c r="A9155" t="str">
        <f>"LTBP3"</f>
        <v>LTBP3</v>
      </c>
      <c r="B9155" t="s">
        <v>4</v>
      </c>
    </row>
    <row r="9156" spans="1:2" x14ac:dyDescent="0.2">
      <c r="A9156" t="str">
        <f>"LTBP4"</f>
        <v>LTBP4</v>
      </c>
      <c r="B9156" t="s">
        <v>2</v>
      </c>
    </row>
    <row r="9157" spans="1:2" x14ac:dyDescent="0.2">
      <c r="A9157" t="str">
        <f>"LTBR"</f>
        <v>LTBR</v>
      </c>
      <c r="B9157" t="s">
        <v>3</v>
      </c>
    </row>
    <row r="9158" spans="1:2" x14ac:dyDescent="0.2">
      <c r="A9158" t="str">
        <f>"LTC4S"</f>
        <v>LTC4S</v>
      </c>
      <c r="B9158" t="s">
        <v>7</v>
      </c>
    </row>
    <row r="9159" spans="1:2" x14ac:dyDescent="0.2">
      <c r="A9159" t="str">
        <f>"LTF"</f>
        <v>LTF</v>
      </c>
      <c r="B9159" t="s">
        <v>7</v>
      </c>
    </row>
    <row r="9160" spans="1:2" x14ac:dyDescent="0.2">
      <c r="A9160" t="str">
        <f>"LTK"</f>
        <v>LTK</v>
      </c>
      <c r="B9160" t="s">
        <v>7</v>
      </c>
    </row>
    <row r="9161" spans="1:2" x14ac:dyDescent="0.2">
      <c r="A9161" t="str">
        <f>"LTN1"</f>
        <v>LTN1</v>
      </c>
      <c r="B9161" t="s">
        <v>2</v>
      </c>
    </row>
    <row r="9162" spans="1:2" x14ac:dyDescent="0.2">
      <c r="A9162" t="str">
        <f>"LTV1"</f>
        <v>LTV1</v>
      </c>
      <c r="B9162" t="s">
        <v>6</v>
      </c>
    </row>
    <row r="9163" spans="1:2" x14ac:dyDescent="0.2">
      <c r="A9163" t="str">
        <f>"LUC7L"</f>
        <v>LUC7L</v>
      </c>
      <c r="B9163" t="s">
        <v>4</v>
      </c>
    </row>
    <row r="9164" spans="1:2" x14ac:dyDescent="0.2">
      <c r="A9164" t="str">
        <f>"LUC7L2"</f>
        <v>LUC7L2</v>
      </c>
      <c r="B9164" t="s">
        <v>4</v>
      </c>
    </row>
    <row r="9165" spans="1:2" x14ac:dyDescent="0.2">
      <c r="A9165" t="str">
        <f>"LUC7L3"</f>
        <v>LUC7L3</v>
      </c>
      <c r="B9165" t="s">
        <v>2</v>
      </c>
    </row>
    <row r="9166" spans="1:2" x14ac:dyDescent="0.2">
      <c r="A9166" t="str">
        <f>"LUM"</f>
        <v>LUM</v>
      </c>
      <c r="B9166" t="s">
        <v>3</v>
      </c>
    </row>
    <row r="9167" spans="1:2" x14ac:dyDescent="0.2">
      <c r="A9167" t="str">
        <f>"LURAP1"</f>
        <v>LURAP1</v>
      </c>
      <c r="B9167" t="s">
        <v>4</v>
      </c>
    </row>
    <row r="9168" spans="1:2" x14ac:dyDescent="0.2">
      <c r="A9168" t="str">
        <f>"LURAP1L"</f>
        <v>LURAP1L</v>
      </c>
      <c r="B9168" t="s">
        <v>4</v>
      </c>
    </row>
    <row r="9169" spans="1:2" x14ac:dyDescent="0.2">
      <c r="A9169" t="str">
        <f>"LUZP1"</f>
        <v>LUZP1</v>
      </c>
      <c r="B9169" t="s">
        <v>6</v>
      </c>
    </row>
    <row r="9170" spans="1:2" x14ac:dyDescent="0.2">
      <c r="A9170" t="str">
        <f>"LUZP2"</f>
        <v>LUZP2</v>
      </c>
      <c r="B9170" t="s">
        <v>4</v>
      </c>
    </row>
    <row r="9171" spans="1:2" x14ac:dyDescent="0.2">
      <c r="A9171" t="str">
        <f>"LUZP4"</f>
        <v>LUZP4</v>
      </c>
      <c r="B9171" t="s">
        <v>4</v>
      </c>
    </row>
    <row r="9172" spans="1:2" x14ac:dyDescent="0.2">
      <c r="A9172" t="str">
        <f>"LUZP6"</f>
        <v>LUZP6</v>
      </c>
      <c r="B9172" t="s">
        <v>4</v>
      </c>
    </row>
    <row r="9173" spans="1:2" x14ac:dyDescent="0.2">
      <c r="A9173" t="str">
        <f>"LXN"</f>
        <v>LXN</v>
      </c>
      <c r="B9173" t="s">
        <v>4</v>
      </c>
    </row>
    <row r="9174" spans="1:2" x14ac:dyDescent="0.2">
      <c r="A9174" t="str">
        <f>"LY6D"</f>
        <v>LY6D</v>
      </c>
      <c r="B9174" t="s">
        <v>5</v>
      </c>
    </row>
    <row r="9175" spans="1:2" x14ac:dyDescent="0.2">
      <c r="A9175" t="str">
        <f>"LY6E"</f>
        <v>LY6E</v>
      </c>
      <c r="B9175" t="s">
        <v>4</v>
      </c>
    </row>
    <row r="9176" spans="1:2" x14ac:dyDescent="0.2">
      <c r="A9176" t="str">
        <f>"LY6G5B"</f>
        <v>LY6G5B</v>
      </c>
      <c r="B9176" t="s">
        <v>4</v>
      </c>
    </row>
    <row r="9177" spans="1:2" x14ac:dyDescent="0.2">
      <c r="A9177" t="str">
        <f>"LY6G5C"</f>
        <v>LY6G5C</v>
      </c>
      <c r="B9177" t="s">
        <v>5</v>
      </c>
    </row>
    <row r="9178" spans="1:2" x14ac:dyDescent="0.2">
      <c r="A9178" t="str">
        <f>"LY6G6C"</f>
        <v>LY6G6C</v>
      </c>
      <c r="B9178" t="s">
        <v>5</v>
      </c>
    </row>
    <row r="9179" spans="1:2" x14ac:dyDescent="0.2">
      <c r="A9179" t="str">
        <f>"LY6G6D"</f>
        <v>LY6G6D</v>
      </c>
      <c r="B9179" t="s">
        <v>5</v>
      </c>
    </row>
    <row r="9180" spans="1:2" x14ac:dyDescent="0.2">
      <c r="A9180" t="str">
        <f>"LY6G6F"</f>
        <v>LY6G6F</v>
      </c>
      <c r="B9180" t="s">
        <v>4</v>
      </c>
    </row>
    <row r="9181" spans="1:2" x14ac:dyDescent="0.2">
      <c r="A9181" t="str">
        <f>"LY6H"</f>
        <v>LY6H</v>
      </c>
      <c r="B9181" t="s">
        <v>3</v>
      </c>
    </row>
    <row r="9182" spans="1:2" x14ac:dyDescent="0.2">
      <c r="A9182" t="str">
        <f>"LY6K"</f>
        <v>LY6K</v>
      </c>
      <c r="B9182" t="s">
        <v>4</v>
      </c>
    </row>
    <row r="9183" spans="1:2" x14ac:dyDescent="0.2">
      <c r="A9183" t="str">
        <f>"LY75"</f>
        <v>LY75</v>
      </c>
      <c r="B9183" t="s">
        <v>2</v>
      </c>
    </row>
    <row r="9184" spans="1:2" x14ac:dyDescent="0.2">
      <c r="A9184" t="str">
        <f>"LY75-CD302"</f>
        <v>LY75-CD302</v>
      </c>
      <c r="B9184" t="s">
        <v>4</v>
      </c>
    </row>
    <row r="9185" spans="1:2" x14ac:dyDescent="0.2">
      <c r="A9185" t="str">
        <f>"LY86"</f>
        <v>LY86</v>
      </c>
      <c r="B9185" t="s">
        <v>3</v>
      </c>
    </row>
    <row r="9186" spans="1:2" x14ac:dyDescent="0.2">
      <c r="A9186" t="str">
        <f>"LY9"</f>
        <v>LY9</v>
      </c>
      <c r="B9186" t="s">
        <v>5</v>
      </c>
    </row>
    <row r="9187" spans="1:2" x14ac:dyDescent="0.2">
      <c r="A9187" t="str">
        <f>"LY96"</f>
        <v>LY96</v>
      </c>
      <c r="B9187" t="s">
        <v>7</v>
      </c>
    </row>
    <row r="9188" spans="1:2" x14ac:dyDescent="0.2">
      <c r="A9188" t="str">
        <f>"LYAR"</f>
        <v>LYAR</v>
      </c>
      <c r="B9188" t="s">
        <v>8</v>
      </c>
    </row>
    <row r="9189" spans="1:2" x14ac:dyDescent="0.2">
      <c r="A9189" t="str">
        <f>"LYG1"</f>
        <v>LYG1</v>
      </c>
      <c r="B9189" t="s">
        <v>4</v>
      </c>
    </row>
    <row r="9190" spans="1:2" x14ac:dyDescent="0.2">
      <c r="A9190" t="str">
        <f>"LYG2"</f>
        <v>LYG2</v>
      </c>
      <c r="B9190" t="s">
        <v>6</v>
      </c>
    </row>
    <row r="9191" spans="1:2" x14ac:dyDescent="0.2">
      <c r="A9191" t="str">
        <f>"LYL1"</f>
        <v>LYL1</v>
      </c>
      <c r="B9191" t="s">
        <v>3</v>
      </c>
    </row>
    <row r="9192" spans="1:2" x14ac:dyDescent="0.2">
      <c r="A9192" t="str">
        <f>"LYN"</f>
        <v>LYN</v>
      </c>
      <c r="B9192" t="s">
        <v>7</v>
      </c>
    </row>
    <row r="9193" spans="1:2" x14ac:dyDescent="0.2">
      <c r="A9193" t="str">
        <f>"LYNX1"</f>
        <v>LYNX1</v>
      </c>
      <c r="B9193" t="s">
        <v>5</v>
      </c>
    </row>
    <row r="9194" spans="1:2" x14ac:dyDescent="0.2">
      <c r="A9194" t="str">
        <f>"LYPD1"</f>
        <v>LYPD1</v>
      </c>
      <c r="B9194" t="s">
        <v>5</v>
      </c>
    </row>
    <row r="9195" spans="1:2" x14ac:dyDescent="0.2">
      <c r="A9195" t="str">
        <f>"LYPD2"</f>
        <v>LYPD2</v>
      </c>
      <c r="B9195" t="s">
        <v>4</v>
      </c>
    </row>
    <row r="9196" spans="1:2" x14ac:dyDescent="0.2">
      <c r="A9196" t="str">
        <f>"LYPD3"</f>
        <v>LYPD3</v>
      </c>
      <c r="B9196" t="s">
        <v>5</v>
      </c>
    </row>
    <row r="9197" spans="1:2" x14ac:dyDescent="0.2">
      <c r="A9197" t="str">
        <f>"LYPD4"</f>
        <v>LYPD4</v>
      </c>
      <c r="B9197" t="s">
        <v>4</v>
      </c>
    </row>
    <row r="9198" spans="1:2" x14ac:dyDescent="0.2">
      <c r="A9198" t="str">
        <f>"LYPD5"</f>
        <v>LYPD5</v>
      </c>
      <c r="B9198" t="s">
        <v>5</v>
      </c>
    </row>
    <row r="9199" spans="1:2" x14ac:dyDescent="0.2">
      <c r="A9199" t="str">
        <f>"LYPD6"</f>
        <v>LYPD6</v>
      </c>
      <c r="B9199" t="s">
        <v>4</v>
      </c>
    </row>
    <row r="9200" spans="1:2" x14ac:dyDescent="0.2">
      <c r="A9200" t="str">
        <f>"LYPD6B"</f>
        <v>LYPD6B</v>
      </c>
      <c r="B9200" t="s">
        <v>5</v>
      </c>
    </row>
    <row r="9201" spans="1:2" x14ac:dyDescent="0.2">
      <c r="A9201" t="str">
        <f>"LYPD8"</f>
        <v>LYPD8</v>
      </c>
      <c r="B9201" t="s">
        <v>5</v>
      </c>
    </row>
    <row r="9202" spans="1:2" x14ac:dyDescent="0.2">
      <c r="A9202" t="str">
        <f>"LYPLA1"</f>
        <v>LYPLA1</v>
      </c>
      <c r="B9202" t="s">
        <v>2</v>
      </c>
    </row>
    <row r="9203" spans="1:2" x14ac:dyDescent="0.2">
      <c r="A9203" t="str">
        <f>"LYPLA2"</f>
        <v>LYPLA2</v>
      </c>
      <c r="B9203" t="s">
        <v>2</v>
      </c>
    </row>
    <row r="9204" spans="1:2" x14ac:dyDescent="0.2">
      <c r="A9204" t="str">
        <f>"LYPLAL1"</f>
        <v>LYPLAL1</v>
      </c>
      <c r="B9204" t="s">
        <v>4</v>
      </c>
    </row>
    <row r="9205" spans="1:2" x14ac:dyDescent="0.2">
      <c r="A9205" t="str">
        <f>"LYRM1"</f>
        <v>LYRM1</v>
      </c>
      <c r="B9205" t="s">
        <v>6</v>
      </c>
    </row>
    <row r="9206" spans="1:2" x14ac:dyDescent="0.2">
      <c r="A9206" t="str">
        <f>"LYRM2"</f>
        <v>LYRM2</v>
      </c>
      <c r="B9206" t="s">
        <v>6</v>
      </c>
    </row>
    <row r="9207" spans="1:2" x14ac:dyDescent="0.2">
      <c r="A9207" t="str">
        <f>"LYRM4"</f>
        <v>LYRM4</v>
      </c>
      <c r="B9207" t="s">
        <v>6</v>
      </c>
    </row>
    <row r="9208" spans="1:2" x14ac:dyDescent="0.2">
      <c r="A9208" t="str">
        <f>"LYRM5"</f>
        <v>LYRM5</v>
      </c>
      <c r="B9208" t="s">
        <v>6</v>
      </c>
    </row>
    <row r="9209" spans="1:2" x14ac:dyDescent="0.2">
      <c r="A9209" t="str">
        <f>"LYRM7"</f>
        <v>LYRM7</v>
      </c>
      <c r="B9209" t="s">
        <v>6</v>
      </c>
    </row>
    <row r="9210" spans="1:2" x14ac:dyDescent="0.2">
      <c r="A9210" t="str">
        <f>"LYRM9"</f>
        <v>LYRM9</v>
      </c>
      <c r="B9210" t="s">
        <v>4</v>
      </c>
    </row>
    <row r="9211" spans="1:2" x14ac:dyDescent="0.2">
      <c r="A9211" t="str">
        <f>"LYSMD1"</f>
        <v>LYSMD1</v>
      </c>
      <c r="B9211" t="s">
        <v>2</v>
      </c>
    </row>
    <row r="9212" spans="1:2" x14ac:dyDescent="0.2">
      <c r="A9212" t="str">
        <f>"LYSMD2"</f>
        <v>LYSMD2</v>
      </c>
      <c r="B9212" t="s">
        <v>4</v>
      </c>
    </row>
    <row r="9213" spans="1:2" x14ac:dyDescent="0.2">
      <c r="A9213" t="str">
        <f>"LYSMD3"</f>
        <v>LYSMD3</v>
      </c>
      <c r="B9213" t="s">
        <v>2</v>
      </c>
    </row>
    <row r="9214" spans="1:2" x14ac:dyDescent="0.2">
      <c r="A9214" t="str">
        <f>"LYSMD4"</f>
        <v>LYSMD4</v>
      </c>
      <c r="B9214" t="s">
        <v>5</v>
      </c>
    </row>
    <row r="9215" spans="1:2" x14ac:dyDescent="0.2">
      <c r="A9215" t="str">
        <f>"LYST"</f>
        <v>LYST</v>
      </c>
      <c r="B9215" t="s">
        <v>2</v>
      </c>
    </row>
    <row r="9216" spans="1:2" x14ac:dyDescent="0.2">
      <c r="A9216" t="str">
        <f>"LYVE1"</f>
        <v>LYVE1</v>
      </c>
      <c r="B9216" t="s">
        <v>5</v>
      </c>
    </row>
    <row r="9217" spans="1:2" x14ac:dyDescent="0.2">
      <c r="A9217" t="str">
        <f>"LYZ"</f>
        <v>LYZ</v>
      </c>
      <c r="B9217" t="s">
        <v>7</v>
      </c>
    </row>
    <row r="9218" spans="1:2" x14ac:dyDescent="0.2">
      <c r="A9218" t="str">
        <f>"LYZL1"</f>
        <v>LYZL1</v>
      </c>
      <c r="B9218" t="s">
        <v>3</v>
      </c>
    </row>
    <row r="9219" spans="1:2" x14ac:dyDescent="0.2">
      <c r="A9219" t="str">
        <f>"LYZL2"</f>
        <v>LYZL2</v>
      </c>
      <c r="B9219" t="s">
        <v>2</v>
      </c>
    </row>
    <row r="9220" spans="1:2" x14ac:dyDescent="0.2">
      <c r="A9220" t="str">
        <f>"LYZL4"</f>
        <v>LYZL4</v>
      </c>
      <c r="B9220" t="s">
        <v>4</v>
      </c>
    </row>
    <row r="9221" spans="1:2" x14ac:dyDescent="0.2">
      <c r="A9221" t="str">
        <f>"LYZL6"</f>
        <v>LYZL6</v>
      </c>
      <c r="B9221" t="s">
        <v>4</v>
      </c>
    </row>
    <row r="9222" spans="1:2" x14ac:dyDescent="0.2">
      <c r="A9222" t="str">
        <f>"LZIC"</f>
        <v>LZIC</v>
      </c>
      <c r="B9222" t="s">
        <v>4</v>
      </c>
    </row>
    <row r="9223" spans="1:2" x14ac:dyDescent="0.2">
      <c r="A9223" t="str">
        <f>"LZTFL1"</f>
        <v>LZTFL1</v>
      </c>
      <c r="B9223" t="s">
        <v>2</v>
      </c>
    </row>
    <row r="9224" spans="1:2" x14ac:dyDescent="0.2">
      <c r="A9224" t="str">
        <f>"LZTR1"</f>
        <v>LZTR1</v>
      </c>
      <c r="B9224" t="s">
        <v>8</v>
      </c>
    </row>
    <row r="9225" spans="1:2" x14ac:dyDescent="0.2">
      <c r="A9225" t="str">
        <f>"LZTS1"</f>
        <v>LZTS1</v>
      </c>
      <c r="B9225" t="s">
        <v>3</v>
      </c>
    </row>
    <row r="9226" spans="1:2" x14ac:dyDescent="0.2">
      <c r="A9226" t="str">
        <f>"LZTS2"</f>
        <v>LZTS2</v>
      </c>
      <c r="B9226" t="s">
        <v>3</v>
      </c>
    </row>
    <row r="9227" spans="1:2" x14ac:dyDescent="0.2">
      <c r="A9227" t="str">
        <f>"LZTS3"</f>
        <v>LZTS3</v>
      </c>
      <c r="B9227" t="s">
        <v>4</v>
      </c>
    </row>
    <row r="9228" spans="1:2" x14ac:dyDescent="0.2">
      <c r="A9228" t="str">
        <f>"M1AP"</f>
        <v>M1AP</v>
      </c>
      <c r="B9228" t="s">
        <v>4</v>
      </c>
    </row>
    <row r="9229" spans="1:2" x14ac:dyDescent="0.2">
      <c r="A9229" t="str">
        <f>"M6PR"</f>
        <v>M6PR</v>
      </c>
      <c r="B9229" t="s">
        <v>7</v>
      </c>
    </row>
    <row r="9230" spans="1:2" x14ac:dyDescent="0.2">
      <c r="A9230" t="str">
        <f>"MAATS1"</f>
        <v>MAATS1</v>
      </c>
      <c r="B9230" t="s">
        <v>6</v>
      </c>
    </row>
    <row r="9231" spans="1:2" x14ac:dyDescent="0.2">
      <c r="A9231" t="str">
        <f>"MAB21L1"</f>
        <v>MAB21L1</v>
      </c>
      <c r="B9231" t="s">
        <v>3</v>
      </c>
    </row>
    <row r="9232" spans="1:2" x14ac:dyDescent="0.2">
      <c r="A9232" t="str">
        <f>"MAB21L2"</f>
        <v>MAB21L2</v>
      </c>
      <c r="B9232" t="s">
        <v>4</v>
      </c>
    </row>
    <row r="9233" spans="1:2" x14ac:dyDescent="0.2">
      <c r="A9233" t="str">
        <f>"MAB21L3"</f>
        <v>MAB21L3</v>
      </c>
      <c r="B9233" t="s">
        <v>4</v>
      </c>
    </row>
    <row r="9234" spans="1:2" x14ac:dyDescent="0.2">
      <c r="A9234" t="str">
        <f>"MACC1"</f>
        <v>MACC1</v>
      </c>
      <c r="B9234" t="s">
        <v>8</v>
      </c>
    </row>
    <row r="9235" spans="1:2" x14ac:dyDescent="0.2">
      <c r="A9235" t="str">
        <f>"MACF1"</f>
        <v>MACF1</v>
      </c>
      <c r="B9235" t="s">
        <v>3</v>
      </c>
    </row>
    <row r="9236" spans="1:2" x14ac:dyDescent="0.2">
      <c r="A9236" t="str">
        <f>"MACROD1"</f>
        <v>MACROD1</v>
      </c>
      <c r="B9236" t="s">
        <v>6</v>
      </c>
    </row>
    <row r="9237" spans="1:2" x14ac:dyDescent="0.2">
      <c r="A9237" t="str">
        <f>"MACROD2"</f>
        <v>MACROD2</v>
      </c>
      <c r="B9237" t="s">
        <v>3</v>
      </c>
    </row>
    <row r="9238" spans="1:2" x14ac:dyDescent="0.2">
      <c r="A9238" t="str">
        <f>"MAD1L1"</f>
        <v>MAD1L1</v>
      </c>
      <c r="B9238" t="s">
        <v>3</v>
      </c>
    </row>
    <row r="9239" spans="1:2" x14ac:dyDescent="0.2">
      <c r="A9239" t="str">
        <f>"MAD2L1"</f>
        <v>MAD2L1</v>
      </c>
      <c r="B9239" t="s">
        <v>3</v>
      </c>
    </row>
    <row r="9240" spans="1:2" x14ac:dyDescent="0.2">
      <c r="A9240" t="str">
        <f>"MAD2L1BP"</f>
        <v>MAD2L1BP</v>
      </c>
      <c r="B9240" t="s">
        <v>3</v>
      </c>
    </row>
    <row r="9241" spans="1:2" x14ac:dyDescent="0.2">
      <c r="A9241" t="str">
        <f>"MAD2L2"</f>
        <v>MAD2L2</v>
      </c>
      <c r="B9241" t="s">
        <v>3</v>
      </c>
    </row>
    <row r="9242" spans="1:2" x14ac:dyDescent="0.2">
      <c r="A9242" t="str">
        <f>"MADCAM1"</f>
        <v>MADCAM1</v>
      </c>
      <c r="B9242" t="s">
        <v>3</v>
      </c>
    </row>
    <row r="9243" spans="1:2" x14ac:dyDescent="0.2">
      <c r="A9243" t="str">
        <f>"MADD"</f>
        <v>MADD</v>
      </c>
      <c r="B9243" t="s">
        <v>7</v>
      </c>
    </row>
    <row r="9244" spans="1:2" x14ac:dyDescent="0.2">
      <c r="A9244" t="str">
        <f>"MAEA"</f>
        <v>MAEA</v>
      </c>
      <c r="B9244" t="s">
        <v>3</v>
      </c>
    </row>
    <row r="9245" spans="1:2" x14ac:dyDescent="0.2">
      <c r="A9245" t="str">
        <f>"MAEL"</f>
        <v>MAEL</v>
      </c>
      <c r="B9245" t="s">
        <v>8</v>
      </c>
    </row>
    <row r="9246" spans="1:2" x14ac:dyDescent="0.2">
      <c r="A9246" t="str">
        <f>"MAF"</f>
        <v>MAF</v>
      </c>
      <c r="B9246" t="s">
        <v>3</v>
      </c>
    </row>
    <row r="9247" spans="1:2" x14ac:dyDescent="0.2">
      <c r="A9247" t="str">
        <f>"MAF1"</f>
        <v>MAF1</v>
      </c>
      <c r="B9247" t="s">
        <v>2</v>
      </c>
    </row>
    <row r="9248" spans="1:2" x14ac:dyDescent="0.2">
      <c r="A9248" t="str">
        <f>"MAFA"</f>
        <v>MAFA</v>
      </c>
      <c r="B9248" t="s">
        <v>8</v>
      </c>
    </row>
    <row r="9249" spans="1:2" x14ac:dyDescent="0.2">
      <c r="A9249" t="str">
        <f>"MAFB"</f>
        <v>MAFB</v>
      </c>
      <c r="B9249" t="s">
        <v>3</v>
      </c>
    </row>
    <row r="9250" spans="1:2" x14ac:dyDescent="0.2">
      <c r="A9250" t="str">
        <f>"MAFF"</f>
        <v>MAFF</v>
      </c>
      <c r="B9250" t="s">
        <v>3</v>
      </c>
    </row>
    <row r="9251" spans="1:2" x14ac:dyDescent="0.2">
      <c r="A9251" t="str">
        <f>"MAFG"</f>
        <v>MAFG</v>
      </c>
      <c r="B9251" t="s">
        <v>8</v>
      </c>
    </row>
    <row r="9252" spans="1:2" x14ac:dyDescent="0.2">
      <c r="A9252" t="str">
        <f>"MAFK"</f>
        <v>MAFK</v>
      </c>
      <c r="B9252" t="s">
        <v>3</v>
      </c>
    </row>
    <row r="9253" spans="1:2" x14ac:dyDescent="0.2">
      <c r="A9253" t="str">
        <f>"MAG"</f>
        <v>MAG</v>
      </c>
      <c r="B9253" t="s">
        <v>2</v>
      </c>
    </row>
    <row r="9254" spans="1:2" x14ac:dyDescent="0.2">
      <c r="A9254" t="str">
        <f>"MAGEA1"</f>
        <v>MAGEA1</v>
      </c>
      <c r="B9254" t="s">
        <v>3</v>
      </c>
    </row>
    <row r="9255" spans="1:2" x14ac:dyDescent="0.2">
      <c r="A9255" t="str">
        <f>"MAGEA10"</f>
        <v>MAGEA10</v>
      </c>
      <c r="B9255" t="s">
        <v>4</v>
      </c>
    </row>
    <row r="9256" spans="1:2" x14ac:dyDescent="0.2">
      <c r="A9256" t="str">
        <f>"MAGEA10-MAGEA5"</f>
        <v>MAGEA10-MAGEA5</v>
      </c>
      <c r="B9256" t="s">
        <v>4</v>
      </c>
    </row>
    <row r="9257" spans="1:2" x14ac:dyDescent="0.2">
      <c r="A9257" t="str">
        <f>"MAGEA11"</f>
        <v>MAGEA11</v>
      </c>
      <c r="B9257" t="s">
        <v>2</v>
      </c>
    </row>
    <row r="9258" spans="1:2" x14ac:dyDescent="0.2">
      <c r="A9258" t="str">
        <f>"MAGEA12"</f>
        <v>MAGEA12</v>
      </c>
      <c r="B9258" t="s">
        <v>4</v>
      </c>
    </row>
    <row r="9259" spans="1:2" x14ac:dyDescent="0.2">
      <c r="A9259" t="str">
        <f>"MAGEA2"</f>
        <v>MAGEA2</v>
      </c>
      <c r="B9259" t="s">
        <v>3</v>
      </c>
    </row>
    <row r="9260" spans="1:2" x14ac:dyDescent="0.2">
      <c r="A9260" t="str">
        <f>"MAGEA2B"</f>
        <v>MAGEA2B</v>
      </c>
      <c r="B9260" t="s">
        <v>3</v>
      </c>
    </row>
    <row r="9261" spans="1:2" x14ac:dyDescent="0.2">
      <c r="A9261" t="str">
        <f>"MAGEA3"</f>
        <v>MAGEA3</v>
      </c>
      <c r="B9261" t="s">
        <v>4</v>
      </c>
    </row>
    <row r="9262" spans="1:2" x14ac:dyDescent="0.2">
      <c r="A9262" t="str">
        <f>"MAGEA4"</f>
        <v>MAGEA4</v>
      </c>
      <c r="B9262" t="s">
        <v>3</v>
      </c>
    </row>
    <row r="9263" spans="1:2" x14ac:dyDescent="0.2">
      <c r="A9263" t="str">
        <f>"MAGEA6"</f>
        <v>MAGEA6</v>
      </c>
      <c r="B9263" t="s">
        <v>3</v>
      </c>
    </row>
    <row r="9264" spans="1:2" x14ac:dyDescent="0.2">
      <c r="A9264" t="str">
        <f>"MAGEA8"</f>
        <v>MAGEA8</v>
      </c>
      <c r="B9264" t="s">
        <v>4</v>
      </c>
    </row>
    <row r="9265" spans="1:2" x14ac:dyDescent="0.2">
      <c r="A9265" t="str">
        <f>"MAGEA9"</f>
        <v>MAGEA9</v>
      </c>
      <c r="B9265" t="s">
        <v>4</v>
      </c>
    </row>
    <row r="9266" spans="1:2" x14ac:dyDescent="0.2">
      <c r="A9266" t="str">
        <f>"MAGEA9B"</f>
        <v>MAGEA9B</v>
      </c>
      <c r="B9266" t="s">
        <v>4</v>
      </c>
    </row>
    <row r="9267" spans="1:2" x14ac:dyDescent="0.2">
      <c r="A9267" t="str">
        <f>"MAGEB1"</f>
        <v>MAGEB1</v>
      </c>
      <c r="B9267" t="s">
        <v>4</v>
      </c>
    </row>
    <row r="9268" spans="1:2" x14ac:dyDescent="0.2">
      <c r="A9268" t="str">
        <f>"MAGEB10"</f>
        <v>MAGEB10</v>
      </c>
      <c r="B9268" t="s">
        <v>3</v>
      </c>
    </row>
    <row r="9269" spans="1:2" x14ac:dyDescent="0.2">
      <c r="A9269" t="str">
        <f>"MAGEB16"</f>
        <v>MAGEB16</v>
      </c>
      <c r="B9269" t="s">
        <v>4</v>
      </c>
    </row>
    <row r="9270" spans="1:2" x14ac:dyDescent="0.2">
      <c r="A9270" t="str">
        <f>"MAGEB17"</f>
        <v>MAGEB17</v>
      </c>
      <c r="B9270" t="s">
        <v>4</v>
      </c>
    </row>
    <row r="9271" spans="1:2" x14ac:dyDescent="0.2">
      <c r="A9271" t="str">
        <f>"MAGEB18"</f>
        <v>MAGEB18</v>
      </c>
      <c r="B9271" t="s">
        <v>4</v>
      </c>
    </row>
    <row r="9272" spans="1:2" x14ac:dyDescent="0.2">
      <c r="A9272" t="str">
        <f>"MAGEB2"</f>
        <v>MAGEB2</v>
      </c>
      <c r="B9272" t="s">
        <v>4</v>
      </c>
    </row>
    <row r="9273" spans="1:2" x14ac:dyDescent="0.2">
      <c r="A9273" t="str">
        <f>"MAGEB3"</f>
        <v>MAGEB3</v>
      </c>
      <c r="B9273" t="s">
        <v>4</v>
      </c>
    </row>
    <row r="9274" spans="1:2" x14ac:dyDescent="0.2">
      <c r="A9274" t="str">
        <f>"MAGEB4"</f>
        <v>MAGEB4</v>
      </c>
      <c r="B9274" t="s">
        <v>4</v>
      </c>
    </row>
    <row r="9275" spans="1:2" x14ac:dyDescent="0.2">
      <c r="A9275" t="str">
        <f>"MAGEB5"</f>
        <v>MAGEB5</v>
      </c>
      <c r="B9275" t="s">
        <v>4</v>
      </c>
    </row>
    <row r="9276" spans="1:2" x14ac:dyDescent="0.2">
      <c r="A9276" t="str">
        <f>"MAGEB6"</f>
        <v>MAGEB6</v>
      </c>
      <c r="B9276" t="s">
        <v>4</v>
      </c>
    </row>
    <row r="9277" spans="1:2" x14ac:dyDescent="0.2">
      <c r="A9277" t="str">
        <f>"MAGEC1"</f>
        <v>MAGEC1</v>
      </c>
      <c r="B9277" t="s">
        <v>4</v>
      </c>
    </row>
    <row r="9278" spans="1:2" x14ac:dyDescent="0.2">
      <c r="A9278" t="str">
        <f>"MAGEC2"</f>
        <v>MAGEC2</v>
      </c>
      <c r="B9278" t="s">
        <v>3</v>
      </c>
    </row>
    <row r="9279" spans="1:2" x14ac:dyDescent="0.2">
      <c r="A9279" t="str">
        <f>"MAGEC3"</f>
        <v>MAGEC3</v>
      </c>
      <c r="B9279" t="s">
        <v>3</v>
      </c>
    </row>
    <row r="9280" spans="1:2" x14ac:dyDescent="0.2">
      <c r="A9280" t="str">
        <f>"MAGED1"</f>
        <v>MAGED1</v>
      </c>
      <c r="B9280" t="s">
        <v>8</v>
      </c>
    </row>
    <row r="9281" spans="1:2" x14ac:dyDescent="0.2">
      <c r="A9281" t="str">
        <f>"MAGED2"</f>
        <v>MAGED2</v>
      </c>
      <c r="B9281" t="s">
        <v>4</v>
      </c>
    </row>
    <row r="9282" spans="1:2" x14ac:dyDescent="0.2">
      <c r="A9282" t="str">
        <f>"MAGED4"</f>
        <v>MAGED4</v>
      </c>
      <c r="B9282" t="s">
        <v>4</v>
      </c>
    </row>
    <row r="9283" spans="1:2" x14ac:dyDescent="0.2">
      <c r="A9283" t="str">
        <f>"MAGED4B"</f>
        <v>MAGED4B</v>
      </c>
      <c r="B9283" t="s">
        <v>4</v>
      </c>
    </row>
    <row r="9284" spans="1:2" x14ac:dyDescent="0.2">
      <c r="A9284" t="str">
        <f>"MAGEE1"</f>
        <v>MAGEE1</v>
      </c>
      <c r="B9284" t="s">
        <v>3</v>
      </c>
    </row>
    <row r="9285" spans="1:2" x14ac:dyDescent="0.2">
      <c r="A9285" t="str">
        <f>"MAGEE2"</f>
        <v>MAGEE2</v>
      </c>
      <c r="B9285" t="s">
        <v>4</v>
      </c>
    </row>
    <row r="9286" spans="1:2" x14ac:dyDescent="0.2">
      <c r="A9286" t="str">
        <f>"MAGEF1"</f>
        <v>MAGEF1</v>
      </c>
      <c r="B9286" t="s">
        <v>4</v>
      </c>
    </row>
    <row r="9287" spans="1:2" x14ac:dyDescent="0.2">
      <c r="A9287" t="str">
        <f>"MAGEH1"</f>
        <v>MAGEH1</v>
      </c>
      <c r="B9287" t="s">
        <v>3</v>
      </c>
    </row>
    <row r="9288" spans="1:2" x14ac:dyDescent="0.2">
      <c r="A9288" t="str">
        <f>"MAGEL2"</f>
        <v>MAGEL2</v>
      </c>
      <c r="B9288" t="s">
        <v>4</v>
      </c>
    </row>
    <row r="9289" spans="1:2" x14ac:dyDescent="0.2">
      <c r="A9289" t="str">
        <f>"MAGI1"</f>
        <v>MAGI1</v>
      </c>
      <c r="B9289" t="s">
        <v>3</v>
      </c>
    </row>
    <row r="9290" spans="1:2" x14ac:dyDescent="0.2">
      <c r="A9290" t="str">
        <f>"MAGI2"</f>
        <v>MAGI2</v>
      </c>
      <c r="B9290" t="s">
        <v>7</v>
      </c>
    </row>
    <row r="9291" spans="1:2" x14ac:dyDescent="0.2">
      <c r="A9291" t="str">
        <f>"MAGI3"</f>
        <v>MAGI3</v>
      </c>
      <c r="B9291" t="s">
        <v>7</v>
      </c>
    </row>
    <row r="9292" spans="1:2" x14ac:dyDescent="0.2">
      <c r="A9292" t="str">
        <f>"MAGIX"</f>
        <v>MAGIX</v>
      </c>
      <c r="B9292" t="s">
        <v>4</v>
      </c>
    </row>
    <row r="9293" spans="1:2" x14ac:dyDescent="0.2">
      <c r="A9293" t="str">
        <f>"MAGOH"</f>
        <v>MAGOH</v>
      </c>
      <c r="B9293" t="s">
        <v>8</v>
      </c>
    </row>
    <row r="9294" spans="1:2" x14ac:dyDescent="0.2">
      <c r="A9294" t="str">
        <f>"MAGOHB"</f>
        <v>MAGOHB</v>
      </c>
      <c r="B9294" t="s">
        <v>8</v>
      </c>
    </row>
    <row r="9295" spans="1:2" x14ac:dyDescent="0.2">
      <c r="A9295" t="str">
        <f>"MAGT1"</f>
        <v>MAGT1</v>
      </c>
      <c r="B9295" t="s">
        <v>2</v>
      </c>
    </row>
    <row r="9296" spans="1:2" x14ac:dyDescent="0.2">
      <c r="A9296" t="str">
        <f>"MAK"</f>
        <v>MAK</v>
      </c>
      <c r="B9296" t="s">
        <v>7</v>
      </c>
    </row>
    <row r="9297" spans="1:2" x14ac:dyDescent="0.2">
      <c r="A9297" t="str">
        <f>"MAK16"</f>
        <v>MAK16</v>
      </c>
      <c r="B9297" t="s">
        <v>8</v>
      </c>
    </row>
    <row r="9298" spans="1:2" x14ac:dyDescent="0.2">
      <c r="A9298" t="str">
        <f>"MAL"</f>
        <v>MAL</v>
      </c>
      <c r="B9298" t="s">
        <v>2</v>
      </c>
    </row>
    <row r="9299" spans="1:2" x14ac:dyDescent="0.2">
      <c r="A9299" t="str">
        <f>"MAL2"</f>
        <v>MAL2</v>
      </c>
      <c r="B9299" t="s">
        <v>2</v>
      </c>
    </row>
    <row r="9300" spans="1:2" x14ac:dyDescent="0.2">
      <c r="A9300" t="str">
        <f>"MALL"</f>
        <v>MALL</v>
      </c>
      <c r="B9300" t="s">
        <v>6</v>
      </c>
    </row>
    <row r="9301" spans="1:2" x14ac:dyDescent="0.2">
      <c r="A9301" t="str">
        <f>"MALSU1"</f>
        <v>MALSU1</v>
      </c>
      <c r="B9301" t="s">
        <v>6</v>
      </c>
    </row>
    <row r="9302" spans="1:2" x14ac:dyDescent="0.2">
      <c r="A9302" t="str">
        <f>"MALT1"</f>
        <v>MALT1</v>
      </c>
      <c r="B9302" t="s">
        <v>3</v>
      </c>
    </row>
    <row r="9303" spans="1:2" x14ac:dyDescent="0.2">
      <c r="A9303" t="str">
        <f>"MAMDC2"</f>
        <v>MAMDC2</v>
      </c>
      <c r="B9303" t="s">
        <v>4</v>
      </c>
    </row>
    <row r="9304" spans="1:2" x14ac:dyDescent="0.2">
      <c r="A9304" t="str">
        <f>"MAMDC4"</f>
        <v>MAMDC4</v>
      </c>
      <c r="B9304" t="s">
        <v>2</v>
      </c>
    </row>
    <row r="9305" spans="1:2" x14ac:dyDescent="0.2">
      <c r="A9305" t="str">
        <f>"MAML1"</f>
        <v>MAML1</v>
      </c>
      <c r="B9305" t="s">
        <v>3</v>
      </c>
    </row>
    <row r="9306" spans="1:2" x14ac:dyDescent="0.2">
      <c r="A9306" t="str">
        <f>"MAML2"</f>
        <v>MAML2</v>
      </c>
      <c r="B9306" t="s">
        <v>3</v>
      </c>
    </row>
    <row r="9307" spans="1:2" x14ac:dyDescent="0.2">
      <c r="A9307" t="str">
        <f>"MAML3"</f>
        <v>MAML3</v>
      </c>
      <c r="B9307" t="s">
        <v>8</v>
      </c>
    </row>
    <row r="9308" spans="1:2" x14ac:dyDescent="0.2">
      <c r="A9308" t="str">
        <f>"MAMLD1"</f>
        <v>MAMLD1</v>
      </c>
      <c r="B9308" t="s">
        <v>4</v>
      </c>
    </row>
    <row r="9309" spans="1:2" x14ac:dyDescent="0.2">
      <c r="A9309" t="str">
        <f>"MAMSTR"</f>
        <v>MAMSTR</v>
      </c>
      <c r="B9309" t="s">
        <v>4</v>
      </c>
    </row>
    <row r="9310" spans="1:2" x14ac:dyDescent="0.2">
      <c r="A9310" t="str">
        <f>"MAN1A1"</f>
        <v>MAN1A1</v>
      </c>
      <c r="B9310" t="s">
        <v>7</v>
      </c>
    </row>
    <row r="9311" spans="1:2" x14ac:dyDescent="0.2">
      <c r="A9311" t="str">
        <f>"MAN1A2"</f>
        <v>MAN1A2</v>
      </c>
      <c r="B9311" t="s">
        <v>2</v>
      </c>
    </row>
    <row r="9312" spans="1:2" x14ac:dyDescent="0.2">
      <c r="A9312" t="str">
        <f>"MAN1B1"</f>
        <v>MAN1B1</v>
      </c>
      <c r="B9312" t="s">
        <v>7</v>
      </c>
    </row>
    <row r="9313" spans="1:2" x14ac:dyDescent="0.2">
      <c r="A9313" t="str">
        <f>"MAN1C1"</f>
        <v>MAN1C1</v>
      </c>
      <c r="B9313" t="s">
        <v>6</v>
      </c>
    </row>
    <row r="9314" spans="1:2" x14ac:dyDescent="0.2">
      <c r="A9314" t="str">
        <f>"MAN2A1"</f>
        <v>MAN2A1</v>
      </c>
      <c r="B9314" t="s">
        <v>7</v>
      </c>
    </row>
    <row r="9315" spans="1:2" x14ac:dyDescent="0.2">
      <c r="A9315" t="str">
        <f>"MAN2A2"</f>
        <v>MAN2A2</v>
      </c>
      <c r="B9315" t="s">
        <v>6</v>
      </c>
    </row>
    <row r="9316" spans="1:2" x14ac:dyDescent="0.2">
      <c r="A9316" t="str">
        <f>"MAN2B1"</f>
        <v>MAN2B1</v>
      </c>
      <c r="B9316" t="s">
        <v>2</v>
      </c>
    </row>
    <row r="9317" spans="1:2" x14ac:dyDescent="0.2">
      <c r="A9317" t="str">
        <f>"MAN2B2"</f>
        <v>MAN2B2</v>
      </c>
      <c r="B9317" t="s">
        <v>3</v>
      </c>
    </row>
    <row r="9318" spans="1:2" x14ac:dyDescent="0.2">
      <c r="A9318" t="str">
        <f>"MAN2C1"</f>
        <v>MAN2C1</v>
      </c>
      <c r="B9318" t="s">
        <v>2</v>
      </c>
    </row>
    <row r="9319" spans="1:2" x14ac:dyDescent="0.2">
      <c r="A9319" t="str">
        <f>"MANBA"</f>
        <v>MANBA</v>
      </c>
      <c r="B9319" t="s">
        <v>2</v>
      </c>
    </row>
    <row r="9320" spans="1:2" x14ac:dyDescent="0.2">
      <c r="A9320" t="str">
        <f>"MANBAL"</f>
        <v>MANBAL</v>
      </c>
      <c r="B9320" t="s">
        <v>5</v>
      </c>
    </row>
    <row r="9321" spans="1:2" x14ac:dyDescent="0.2">
      <c r="A9321" t="str">
        <f>"MANEA"</f>
        <v>MANEA</v>
      </c>
      <c r="B9321" t="s">
        <v>4</v>
      </c>
    </row>
    <row r="9322" spans="1:2" x14ac:dyDescent="0.2">
      <c r="A9322" t="str">
        <f>"MANEAL"</f>
        <v>MANEAL</v>
      </c>
      <c r="B9322" t="s">
        <v>4</v>
      </c>
    </row>
    <row r="9323" spans="1:2" x14ac:dyDescent="0.2">
      <c r="A9323" t="str">
        <f>"MANF"</f>
        <v>MANF</v>
      </c>
      <c r="B9323" t="s">
        <v>2</v>
      </c>
    </row>
    <row r="9324" spans="1:2" x14ac:dyDescent="0.2">
      <c r="A9324" t="str">
        <f>"MANSC1"</f>
        <v>MANSC1</v>
      </c>
      <c r="B9324" t="s">
        <v>5</v>
      </c>
    </row>
    <row r="9325" spans="1:2" x14ac:dyDescent="0.2">
      <c r="A9325" t="str">
        <f>"MANSC4"</f>
        <v>MANSC4</v>
      </c>
      <c r="B9325" t="s">
        <v>4</v>
      </c>
    </row>
    <row r="9326" spans="1:2" x14ac:dyDescent="0.2">
      <c r="A9326" t="str">
        <f>"MAOA"</f>
        <v>MAOA</v>
      </c>
      <c r="B9326" t="s">
        <v>3</v>
      </c>
    </row>
    <row r="9327" spans="1:2" x14ac:dyDescent="0.2">
      <c r="A9327" t="str">
        <f>"MAOB"</f>
        <v>MAOB</v>
      </c>
      <c r="B9327" t="s">
        <v>7</v>
      </c>
    </row>
    <row r="9328" spans="1:2" x14ac:dyDescent="0.2">
      <c r="A9328" t="str">
        <f>"MAP10"</f>
        <v>MAP10</v>
      </c>
      <c r="B9328" t="s">
        <v>4</v>
      </c>
    </row>
    <row r="9329" spans="1:2" x14ac:dyDescent="0.2">
      <c r="A9329" t="str">
        <f>"MAP1A"</f>
        <v>MAP1A</v>
      </c>
      <c r="B9329" t="s">
        <v>7</v>
      </c>
    </row>
    <row r="9330" spans="1:2" x14ac:dyDescent="0.2">
      <c r="A9330" t="str">
        <f>"MAP1B"</f>
        <v>MAP1B</v>
      </c>
      <c r="B9330" t="s">
        <v>6</v>
      </c>
    </row>
    <row r="9331" spans="1:2" x14ac:dyDescent="0.2">
      <c r="A9331" t="str">
        <f>"MAP1LC3A"</f>
        <v>MAP1LC3A</v>
      </c>
      <c r="B9331" t="s">
        <v>3</v>
      </c>
    </row>
    <row r="9332" spans="1:2" x14ac:dyDescent="0.2">
      <c r="A9332" t="str">
        <f>"MAP1LC3B"</f>
        <v>MAP1LC3B</v>
      </c>
      <c r="B9332" t="s">
        <v>2</v>
      </c>
    </row>
    <row r="9333" spans="1:2" x14ac:dyDescent="0.2">
      <c r="A9333" t="str">
        <f>"MAP1LC3B2"</f>
        <v>MAP1LC3B2</v>
      </c>
      <c r="B9333" t="s">
        <v>4</v>
      </c>
    </row>
    <row r="9334" spans="1:2" x14ac:dyDescent="0.2">
      <c r="A9334" t="str">
        <f>"MAP1LC3C"</f>
        <v>MAP1LC3C</v>
      </c>
      <c r="B9334" t="s">
        <v>2</v>
      </c>
    </row>
    <row r="9335" spans="1:2" x14ac:dyDescent="0.2">
      <c r="A9335" t="str">
        <f>"MAP1S"</f>
        <v>MAP1S</v>
      </c>
      <c r="B9335" t="s">
        <v>8</v>
      </c>
    </row>
    <row r="9336" spans="1:2" x14ac:dyDescent="0.2">
      <c r="A9336" t="str">
        <f>"MAP2"</f>
        <v>MAP2</v>
      </c>
      <c r="B9336" t="s">
        <v>3</v>
      </c>
    </row>
    <row r="9337" spans="1:2" x14ac:dyDescent="0.2">
      <c r="A9337" t="str">
        <f>"MAP2K1"</f>
        <v>MAP2K1</v>
      </c>
      <c r="B9337" t="s">
        <v>7</v>
      </c>
    </row>
    <row r="9338" spans="1:2" x14ac:dyDescent="0.2">
      <c r="A9338" t="str">
        <f>"MAP2K2"</f>
        <v>MAP2K2</v>
      </c>
      <c r="B9338" t="s">
        <v>7</v>
      </c>
    </row>
    <row r="9339" spans="1:2" x14ac:dyDescent="0.2">
      <c r="A9339" t="str">
        <f>"MAP2K3"</f>
        <v>MAP2K3</v>
      </c>
      <c r="B9339" t="s">
        <v>7</v>
      </c>
    </row>
    <row r="9340" spans="1:2" x14ac:dyDescent="0.2">
      <c r="A9340" t="str">
        <f>"MAP2K4"</f>
        <v>MAP2K4</v>
      </c>
      <c r="B9340" t="s">
        <v>7</v>
      </c>
    </row>
    <row r="9341" spans="1:2" x14ac:dyDescent="0.2">
      <c r="A9341" t="str">
        <f>"MAP2K5"</f>
        <v>MAP2K5</v>
      </c>
      <c r="B9341" t="s">
        <v>7</v>
      </c>
    </row>
    <row r="9342" spans="1:2" x14ac:dyDescent="0.2">
      <c r="A9342" t="str">
        <f>"MAP2K6"</f>
        <v>MAP2K6</v>
      </c>
      <c r="B9342" t="s">
        <v>7</v>
      </c>
    </row>
    <row r="9343" spans="1:2" x14ac:dyDescent="0.2">
      <c r="A9343" t="str">
        <f>"MAP2K7"</f>
        <v>MAP2K7</v>
      </c>
      <c r="B9343" t="s">
        <v>7</v>
      </c>
    </row>
    <row r="9344" spans="1:2" x14ac:dyDescent="0.2">
      <c r="A9344" t="str">
        <f>"MAP3K1"</f>
        <v>MAP3K1</v>
      </c>
      <c r="B9344" t="s">
        <v>7</v>
      </c>
    </row>
    <row r="9345" spans="1:2" x14ac:dyDescent="0.2">
      <c r="A9345" t="str">
        <f>"MAP3K10"</f>
        <v>MAP3K10</v>
      </c>
      <c r="B9345" t="s">
        <v>7</v>
      </c>
    </row>
    <row r="9346" spans="1:2" x14ac:dyDescent="0.2">
      <c r="A9346" t="str">
        <f>"MAP3K11"</f>
        <v>MAP3K11</v>
      </c>
      <c r="B9346" t="s">
        <v>7</v>
      </c>
    </row>
    <row r="9347" spans="1:2" x14ac:dyDescent="0.2">
      <c r="A9347" t="str">
        <f>"MAP3K12"</f>
        <v>MAP3K12</v>
      </c>
      <c r="B9347" t="s">
        <v>7</v>
      </c>
    </row>
    <row r="9348" spans="1:2" x14ac:dyDescent="0.2">
      <c r="A9348" t="str">
        <f>"MAP3K13"</f>
        <v>MAP3K13</v>
      </c>
      <c r="B9348" t="s">
        <v>7</v>
      </c>
    </row>
    <row r="9349" spans="1:2" x14ac:dyDescent="0.2">
      <c r="A9349" t="str">
        <f>"MAP3K14"</f>
        <v>MAP3K14</v>
      </c>
      <c r="B9349" t="s">
        <v>7</v>
      </c>
    </row>
    <row r="9350" spans="1:2" x14ac:dyDescent="0.2">
      <c r="A9350" t="str">
        <f>"MAP3K15"</f>
        <v>MAP3K15</v>
      </c>
      <c r="B9350" t="s">
        <v>7</v>
      </c>
    </row>
    <row r="9351" spans="1:2" x14ac:dyDescent="0.2">
      <c r="A9351" t="str">
        <f>"MAP3K19"</f>
        <v>MAP3K19</v>
      </c>
      <c r="B9351" t="s">
        <v>7</v>
      </c>
    </row>
    <row r="9352" spans="1:2" x14ac:dyDescent="0.2">
      <c r="A9352" t="str">
        <f>"MAP3K2"</f>
        <v>MAP3K2</v>
      </c>
      <c r="B9352" t="s">
        <v>7</v>
      </c>
    </row>
    <row r="9353" spans="1:2" x14ac:dyDescent="0.2">
      <c r="A9353" t="str">
        <f>"MAP3K3"</f>
        <v>MAP3K3</v>
      </c>
      <c r="B9353" t="s">
        <v>7</v>
      </c>
    </row>
    <row r="9354" spans="1:2" x14ac:dyDescent="0.2">
      <c r="A9354" t="str">
        <f>"MAP3K4"</f>
        <v>MAP3K4</v>
      </c>
      <c r="B9354" t="s">
        <v>7</v>
      </c>
    </row>
    <row r="9355" spans="1:2" x14ac:dyDescent="0.2">
      <c r="A9355" t="str">
        <f>"MAP3K5"</f>
        <v>MAP3K5</v>
      </c>
      <c r="B9355" t="s">
        <v>7</v>
      </c>
    </row>
    <row r="9356" spans="1:2" x14ac:dyDescent="0.2">
      <c r="A9356" t="str">
        <f>"MAP3K6"</f>
        <v>MAP3K6</v>
      </c>
      <c r="B9356" t="s">
        <v>7</v>
      </c>
    </row>
    <row r="9357" spans="1:2" x14ac:dyDescent="0.2">
      <c r="A9357" t="str">
        <f>"MAP3K7"</f>
        <v>MAP3K7</v>
      </c>
      <c r="B9357" t="s">
        <v>7</v>
      </c>
    </row>
    <row r="9358" spans="1:2" x14ac:dyDescent="0.2">
      <c r="A9358" t="str">
        <f>"MAP3K7CL"</f>
        <v>MAP3K7CL</v>
      </c>
      <c r="B9358" t="s">
        <v>4</v>
      </c>
    </row>
    <row r="9359" spans="1:2" x14ac:dyDescent="0.2">
      <c r="A9359" t="str">
        <f>"MAP3K8"</f>
        <v>MAP3K8</v>
      </c>
      <c r="B9359" t="s">
        <v>7</v>
      </c>
    </row>
    <row r="9360" spans="1:2" x14ac:dyDescent="0.2">
      <c r="A9360" t="str">
        <f>"MAP3K9"</f>
        <v>MAP3K9</v>
      </c>
      <c r="B9360" t="s">
        <v>7</v>
      </c>
    </row>
    <row r="9361" spans="1:2" x14ac:dyDescent="0.2">
      <c r="A9361" t="str">
        <f>"MAP4"</f>
        <v>MAP4</v>
      </c>
      <c r="B9361" t="s">
        <v>2</v>
      </c>
    </row>
    <row r="9362" spans="1:2" x14ac:dyDescent="0.2">
      <c r="A9362" t="str">
        <f>"MAP4K1"</f>
        <v>MAP4K1</v>
      </c>
      <c r="B9362" t="s">
        <v>7</v>
      </c>
    </row>
    <row r="9363" spans="1:2" x14ac:dyDescent="0.2">
      <c r="A9363" t="str">
        <f>"MAP4K2"</f>
        <v>MAP4K2</v>
      </c>
      <c r="B9363" t="s">
        <v>7</v>
      </c>
    </row>
    <row r="9364" spans="1:2" x14ac:dyDescent="0.2">
      <c r="A9364" t="str">
        <f>"MAP4K3"</f>
        <v>MAP4K3</v>
      </c>
      <c r="B9364" t="s">
        <v>7</v>
      </c>
    </row>
    <row r="9365" spans="1:2" x14ac:dyDescent="0.2">
      <c r="A9365" t="str">
        <f>"MAP4K4"</f>
        <v>MAP4K4</v>
      </c>
      <c r="B9365" t="s">
        <v>7</v>
      </c>
    </row>
    <row r="9366" spans="1:2" x14ac:dyDescent="0.2">
      <c r="A9366" t="str">
        <f>"MAP4K5"</f>
        <v>MAP4K5</v>
      </c>
      <c r="B9366" t="s">
        <v>7</v>
      </c>
    </row>
    <row r="9367" spans="1:2" x14ac:dyDescent="0.2">
      <c r="A9367" t="str">
        <f>"MAP6"</f>
        <v>MAP6</v>
      </c>
      <c r="B9367" t="s">
        <v>8</v>
      </c>
    </row>
    <row r="9368" spans="1:2" x14ac:dyDescent="0.2">
      <c r="A9368" t="str">
        <f>"MAP6D1"</f>
        <v>MAP6D1</v>
      </c>
      <c r="B9368" t="s">
        <v>6</v>
      </c>
    </row>
    <row r="9369" spans="1:2" x14ac:dyDescent="0.2">
      <c r="A9369" t="str">
        <f>"MAP7"</f>
        <v>MAP7</v>
      </c>
      <c r="B9369" t="s">
        <v>6</v>
      </c>
    </row>
    <row r="9370" spans="1:2" x14ac:dyDescent="0.2">
      <c r="A9370" t="str">
        <f>"MAP7D1"</f>
        <v>MAP7D1</v>
      </c>
      <c r="B9370" t="s">
        <v>4</v>
      </c>
    </row>
    <row r="9371" spans="1:2" x14ac:dyDescent="0.2">
      <c r="A9371" t="str">
        <f>"MAP7D2"</f>
        <v>MAP7D2</v>
      </c>
      <c r="B9371" t="s">
        <v>3</v>
      </c>
    </row>
    <row r="9372" spans="1:2" x14ac:dyDescent="0.2">
      <c r="A9372" t="str">
        <f>"MAP7D3"</f>
        <v>MAP7D3</v>
      </c>
      <c r="B9372" t="s">
        <v>3</v>
      </c>
    </row>
    <row r="9373" spans="1:2" x14ac:dyDescent="0.2">
      <c r="A9373" t="str">
        <f>"MAP9"</f>
        <v>MAP9</v>
      </c>
      <c r="B9373" t="s">
        <v>3</v>
      </c>
    </row>
    <row r="9374" spans="1:2" x14ac:dyDescent="0.2">
      <c r="A9374" t="str">
        <f>"MAPK1"</f>
        <v>MAPK1</v>
      </c>
      <c r="B9374" t="s">
        <v>7</v>
      </c>
    </row>
    <row r="9375" spans="1:2" x14ac:dyDescent="0.2">
      <c r="A9375" t="str">
        <f>"MAPK10"</f>
        <v>MAPK10</v>
      </c>
      <c r="B9375" t="s">
        <v>7</v>
      </c>
    </row>
    <row r="9376" spans="1:2" x14ac:dyDescent="0.2">
      <c r="A9376" t="str">
        <f>"MAPK11"</f>
        <v>MAPK11</v>
      </c>
      <c r="B9376" t="s">
        <v>7</v>
      </c>
    </row>
    <row r="9377" spans="1:2" x14ac:dyDescent="0.2">
      <c r="A9377" t="str">
        <f>"MAPK12"</f>
        <v>MAPK12</v>
      </c>
      <c r="B9377" t="s">
        <v>7</v>
      </c>
    </row>
    <row r="9378" spans="1:2" x14ac:dyDescent="0.2">
      <c r="A9378" t="str">
        <f>"MAPK13"</f>
        <v>MAPK13</v>
      </c>
      <c r="B9378" t="s">
        <v>7</v>
      </c>
    </row>
    <row r="9379" spans="1:2" x14ac:dyDescent="0.2">
      <c r="A9379" t="str">
        <f>"MAPK14"</f>
        <v>MAPK14</v>
      </c>
      <c r="B9379" t="s">
        <v>7</v>
      </c>
    </row>
    <row r="9380" spans="1:2" x14ac:dyDescent="0.2">
      <c r="A9380" t="str">
        <f>"MAPK15"</f>
        <v>MAPK15</v>
      </c>
      <c r="B9380" t="s">
        <v>7</v>
      </c>
    </row>
    <row r="9381" spans="1:2" x14ac:dyDescent="0.2">
      <c r="A9381" t="str">
        <f>"MAPK1IP1L"</f>
        <v>MAPK1IP1L</v>
      </c>
      <c r="B9381" t="s">
        <v>2</v>
      </c>
    </row>
    <row r="9382" spans="1:2" x14ac:dyDescent="0.2">
      <c r="A9382" t="str">
        <f>"MAPK3"</f>
        <v>MAPK3</v>
      </c>
      <c r="B9382" t="s">
        <v>7</v>
      </c>
    </row>
    <row r="9383" spans="1:2" x14ac:dyDescent="0.2">
      <c r="A9383" t="str">
        <f>"MAPK4"</f>
        <v>MAPK4</v>
      </c>
      <c r="B9383" t="s">
        <v>7</v>
      </c>
    </row>
    <row r="9384" spans="1:2" x14ac:dyDescent="0.2">
      <c r="A9384" t="str">
        <f>"MAPK6"</f>
        <v>MAPK6</v>
      </c>
      <c r="B9384" t="s">
        <v>7</v>
      </c>
    </row>
    <row r="9385" spans="1:2" x14ac:dyDescent="0.2">
      <c r="A9385" t="str">
        <f>"MAPK7"</f>
        <v>MAPK7</v>
      </c>
      <c r="B9385" t="s">
        <v>7</v>
      </c>
    </row>
    <row r="9386" spans="1:2" x14ac:dyDescent="0.2">
      <c r="A9386" t="str">
        <f>"MAPK8"</f>
        <v>MAPK8</v>
      </c>
      <c r="B9386" t="s">
        <v>7</v>
      </c>
    </row>
    <row r="9387" spans="1:2" x14ac:dyDescent="0.2">
      <c r="A9387" t="str">
        <f>"MAPK8IP1"</f>
        <v>MAPK8IP1</v>
      </c>
      <c r="B9387" t="s">
        <v>7</v>
      </c>
    </row>
    <row r="9388" spans="1:2" x14ac:dyDescent="0.2">
      <c r="A9388" t="str">
        <f>"MAPK8IP2"</f>
        <v>MAPK8IP2</v>
      </c>
      <c r="B9388" t="s">
        <v>7</v>
      </c>
    </row>
    <row r="9389" spans="1:2" x14ac:dyDescent="0.2">
      <c r="A9389" t="str">
        <f>"MAPK8IP3"</f>
        <v>MAPK8IP3</v>
      </c>
      <c r="B9389" t="s">
        <v>7</v>
      </c>
    </row>
    <row r="9390" spans="1:2" x14ac:dyDescent="0.2">
      <c r="A9390" t="str">
        <f>"MAPK9"</f>
        <v>MAPK9</v>
      </c>
      <c r="B9390" t="s">
        <v>7</v>
      </c>
    </row>
    <row r="9391" spans="1:2" x14ac:dyDescent="0.2">
      <c r="A9391" t="str">
        <f>"MAPKAP1"</f>
        <v>MAPKAP1</v>
      </c>
      <c r="B9391" t="s">
        <v>7</v>
      </c>
    </row>
    <row r="9392" spans="1:2" x14ac:dyDescent="0.2">
      <c r="A9392" t="str">
        <f>"MAPKAPK2"</f>
        <v>MAPKAPK2</v>
      </c>
      <c r="B9392" t="s">
        <v>7</v>
      </c>
    </row>
    <row r="9393" spans="1:2" x14ac:dyDescent="0.2">
      <c r="A9393" t="str">
        <f>"MAPKAPK3"</f>
        <v>MAPKAPK3</v>
      </c>
      <c r="B9393" t="s">
        <v>7</v>
      </c>
    </row>
    <row r="9394" spans="1:2" x14ac:dyDescent="0.2">
      <c r="A9394" t="str">
        <f>"MAPKAPK5"</f>
        <v>MAPKAPK5</v>
      </c>
      <c r="B9394" t="s">
        <v>7</v>
      </c>
    </row>
    <row r="9395" spans="1:2" x14ac:dyDescent="0.2">
      <c r="A9395" t="str">
        <f>"MAPKBP1"</f>
        <v>MAPKBP1</v>
      </c>
      <c r="B9395" t="s">
        <v>7</v>
      </c>
    </row>
    <row r="9396" spans="1:2" x14ac:dyDescent="0.2">
      <c r="A9396" t="str">
        <f>"MAPRE1"</f>
        <v>MAPRE1</v>
      </c>
      <c r="B9396" t="s">
        <v>3</v>
      </c>
    </row>
    <row r="9397" spans="1:2" x14ac:dyDescent="0.2">
      <c r="A9397" t="str">
        <f>"MAPRE2"</f>
        <v>MAPRE2</v>
      </c>
      <c r="B9397" t="s">
        <v>3</v>
      </c>
    </row>
    <row r="9398" spans="1:2" x14ac:dyDescent="0.2">
      <c r="A9398" t="str">
        <f>"MAPRE3"</f>
        <v>MAPRE3</v>
      </c>
      <c r="B9398" t="s">
        <v>3</v>
      </c>
    </row>
    <row r="9399" spans="1:2" x14ac:dyDescent="0.2">
      <c r="A9399" t="str">
        <f>"MAPT"</f>
        <v>MAPT</v>
      </c>
      <c r="B9399" t="s">
        <v>2</v>
      </c>
    </row>
    <row r="9400" spans="1:2" x14ac:dyDescent="0.2">
      <c r="A9400" t="str">
        <f>"MARC1"</f>
        <v>MARC1</v>
      </c>
      <c r="B9400" t="s">
        <v>6</v>
      </c>
    </row>
    <row r="9401" spans="1:2" x14ac:dyDescent="0.2">
      <c r="A9401" t="str">
        <f>"MARC2"</f>
        <v>MARC2</v>
      </c>
      <c r="B9401" t="s">
        <v>6</v>
      </c>
    </row>
    <row r="9402" spans="1:2" x14ac:dyDescent="0.2">
      <c r="A9402" t="str">
        <f>"MARCH1"</f>
        <v>MARCH1</v>
      </c>
      <c r="B9402" t="s">
        <v>2</v>
      </c>
    </row>
    <row r="9403" spans="1:2" x14ac:dyDescent="0.2">
      <c r="A9403" t="str">
        <f>"MARCH10"</f>
        <v>MARCH10</v>
      </c>
      <c r="B9403" t="s">
        <v>2</v>
      </c>
    </row>
    <row r="9404" spans="1:2" x14ac:dyDescent="0.2">
      <c r="A9404" t="str">
        <f>"MARCH11"</f>
        <v>MARCH11</v>
      </c>
      <c r="B9404" t="s">
        <v>2</v>
      </c>
    </row>
    <row r="9405" spans="1:2" x14ac:dyDescent="0.2">
      <c r="A9405" t="str">
        <f>"MARCH2"</f>
        <v>MARCH2</v>
      </c>
      <c r="B9405" t="s">
        <v>2</v>
      </c>
    </row>
    <row r="9406" spans="1:2" x14ac:dyDescent="0.2">
      <c r="A9406" t="str">
        <f>"MARCH3"</f>
        <v>MARCH3</v>
      </c>
      <c r="B9406" t="s">
        <v>2</v>
      </c>
    </row>
    <row r="9407" spans="1:2" x14ac:dyDescent="0.2">
      <c r="A9407" t="str">
        <f>"MARCH4"</f>
        <v>MARCH4</v>
      </c>
      <c r="B9407" t="s">
        <v>2</v>
      </c>
    </row>
    <row r="9408" spans="1:2" x14ac:dyDescent="0.2">
      <c r="A9408" t="str">
        <f>"MARCH5"</f>
        <v>MARCH5</v>
      </c>
      <c r="B9408" t="s">
        <v>2</v>
      </c>
    </row>
    <row r="9409" spans="1:2" x14ac:dyDescent="0.2">
      <c r="A9409" t="str">
        <f>"MARCH6"</f>
        <v>MARCH6</v>
      </c>
      <c r="B9409" t="s">
        <v>2</v>
      </c>
    </row>
    <row r="9410" spans="1:2" x14ac:dyDescent="0.2">
      <c r="A9410" t="str">
        <f>"MARCH7"</f>
        <v>MARCH7</v>
      </c>
      <c r="B9410" t="s">
        <v>2</v>
      </c>
    </row>
    <row r="9411" spans="1:2" x14ac:dyDescent="0.2">
      <c r="A9411" t="str">
        <f>"MARCH8"</f>
        <v>MARCH8</v>
      </c>
      <c r="B9411" t="s">
        <v>2</v>
      </c>
    </row>
    <row r="9412" spans="1:2" x14ac:dyDescent="0.2">
      <c r="A9412" t="str">
        <f>"MARCH9"</f>
        <v>MARCH9</v>
      </c>
      <c r="B9412" t="s">
        <v>2</v>
      </c>
    </row>
    <row r="9413" spans="1:2" x14ac:dyDescent="0.2">
      <c r="A9413" t="str">
        <f>"MARCKS"</f>
        <v>MARCKS</v>
      </c>
      <c r="B9413" t="s">
        <v>7</v>
      </c>
    </row>
    <row r="9414" spans="1:2" x14ac:dyDescent="0.2">
      <c r="A9414" t="str">
        <f>"MARCKSL1"</f>
        <v>MARCKSL1</v>
      </c>
      <c r="B9414" t="s">
        <v>6</v>
      </c>
    </row>
    <row r="9415" spans="1:2" x14ac:dyDescent="0.2">
      <c r="A9415" t="str">
        <f>"MARCO"</f>
        <v>MARCO</v>
      </c>
      <c r="B9415" t="s">
        <v>5</v>
      </c>
    </row>
    <row r="9416" spans="1:2" x14ac:dyDescent="0.2">
      <c r="A9416" t="str">
        <f>"MARK1"</f>
        <v>MARK1</v>
      </c>
      <c r="B9416" t="s">
        <v>7</v>
      </c>
    </row>
    <row r="9417" spans="1:2" x14ac:dyDescent="0.2">
      <c r="A9417" t="str">
        <f>"MARK2"</f>
        <v>MARK2</v>
      </c>
      <c r="B9417" t="s">
        <v>7</v>
      </c>
    </row>
    <row r="9418" spans="1:2" x14ac:dyDescent="0.2">
      <c r="A9418" t="str">
        <f>"MARK3"</f>
        <v>MARK3</v>
      </c>
      <c r="B9418" t="s">
        <v>7</v>
      </c>
    </row>
    <row r="9419" spans="1:2" x14ac:dyDescent="0.2">
      <c r="A9419" t="str">
        <f>"MARK4"</f>
        <v>MARK4</v>
      </c>
      <c r="B9419" t="s">
        <v>7</v>
      </c>
    </row>
    <row r="9420" spans="1:2" x14ac:dyDescent="0.2">
      <c r="A9420" t="str">
        <f>"MARS"</f>
        <v>MARS</v>
      </c>
      <c r="B9420" t="s">
        <v>3</v>
      </c>
    </row>
    <row r="9421" spans="1:2" x14ac:dyDescent="0.2">
      <c r="A9421" t="str">
        <f>"MARS2"</f>
        <v>MARS2</v>
      </c>
      <c r="B9421" t="s">
        <v>3</v>
      </c>
    </row>
    <row r="9422" spans="1:2" x14ac:dyDescent="0.2">
      <c r="A9422" t="str">
        <f>"MARVELD1"</f>
        <v>MARVELD1</v>
      </c>
      <c r="B9422" t="s">
        <v>5</v>
      </c>
    </row>
    <row r="9423" spans="1:2" x14ac:dyDescent="0.2">
      <c r="A9423" t="str">
        <f>"MARVELD2"</f>
        <v>MARVELD2</v>
      </c>
      <c r="B9423" t="s">
        <v>5</v>
      </c>
    </row>
    <row r="9424" spans="1:2" x14ac:dyDescent="0.2">
      <c r="A9424" t="str">
        <f>"MARVELD3"</f>
        <v>MARVELD3</v>
      </c>
      <c r="B9424" t="s">
        <v>5</v>
      </c>
    </row>
    <row r="9425" spans="1:2" x14ac:dyDescent="0.2">
      <c r="A9425" t="str">
        <f>"MAS1"</f>
        <v>MAS1</v>
      </c>
      <c r="B9425" t="s">
        <v>3</v>
      </c>
    </row>
    <row r="9426" spans="1:2" x14ac:dyDescent="0.2">
      <c r="A9426" t="str">
        <f>"MAS1L"</f>
        <v>MAS1L</v>
      </c>
      <c r="B9426" t="s">
        <v>5</v>
      </c>
    </row>
    <row r="9427" spans="1:2" x14ac:dyDescent="0.2">
      <c r="A9427" t="str">
        <f>"MASP1"</f>
        <v>MASP1</v>
      </c>
      <c r="B9427" t="s">
        <v>2</v>
      </c>
    </row>
    <row r="9428" spans="1:2" x14ac:dyDescent="0.2">
      <c r="A9428" t="str">
        <f>"MASP2"</f>
        <v>MASP2</v>
      </c>
      <c r="B9428" t="s">
        <v>7</v>
      </c>
    </row>
    <row r="9429" spans="1:2" x14ac:dyDescent="0.2">
      <c r="A9429" t="str">
        <f>"MAST1"</f>
        <v>MAST1</v>
      </c>
      <c r="B9429" t="s">
        <v>7</v>
      </c>
    </row>
    <row r="9430" spans="1:2" x14ac:dyDescent="0.2">
      <c r="A9430" t="str">
        <f>"MAST2"</f>
        <v>MAST2</v>
      </c>
      <c r="B9430" t="s">
        <v>7</v>
      </c>
    </row>
    <row r="9431" spans="1:2" x14ac:dyDescent="0.2">
      <c r="A9431" t="str">
        <f>"MAST3"</f>
        <v>MAST3</v>
      </c>
      <c r="B9431" t="s">
        <v>7</v>
      </c>
    </row>
    <row r="9432" spans="1:2" x14ac:dyDescent="0.2">
      <c r="A9432" t="str">
        <f>"MAST4"</f>
        <v>MAST4</v>
      </c>
      <c r="B9432" t="s">
        <v>7</v>
      </c>
    </row>
    <row r="9433" spans="1:2" x14ac:dyDescent="0.2">
      <c r="A9433" t="str">
        <f>"MASTL"</f>
        <v>MASTL</v>
      </c>
      <c r="B9433" t="s">
        <v>7</v>
      </c>
    </row>
    <row r="9434" spans="1:2" x14ac:dyDescent="0.2">
      <c r="A9434" t="str">
        <f>"MAT1A"</f>
        <v>MAT1A</v>
      </c>
      <c r="B9434" t="s">
        <v>7</v>
      </c>
    </row>
    <row r="9435" spans="1:2" x14ac:dyDescent="0.2">
      <c r="A9435" t="str">
        <f>"MAT2A"</f>
        <v>MAT2A</v>
      </c>
      <c r="B9435" t="s">
        <v>7</v>
      </c>
    </row>
    <row r="9436" spans="1:2" x14ac:dyDescent="0.2">
      <c r="A9436" t="str">
        <f>"MAT2B"</f>
        <v>MAT2B</v>
      </c>
      <c r="B9436" t="s">
        <v>6</v>
      </c>
    </row>
    <row r="9437" spans="1:2" x14ac:dyDescent="0.2">
      <c r="A9437" t="str">
        <f>"MATK"</f>
        <v>MATK</v>
      </c>
      <c r="B9437" t="s">
        <v>7</v>
      </c>
    </row>
    <row r="9438" spans="1:2" x14ac:dyDescent="0.2">
      <c r="A9438" t="str">
        <f>"MATN1"</f>
        <v>MATN1</v>
      </c>
      <c r="B9438" t="s">
        <v>4</v>
      </c>
    </row>
    <row r="9439" spans="1:2" x14ac:dyDescent="0.2">
      <c r="A9439" t="str">
        <f>"MATN2"</f>
        <v>MATN2</v>
      </c>
      <c r="B9439" t="s">
        <v>2</v>
      </c>
    </row>
    <row r="9440" spans="1:2" x14ac:dyDescent="0.2">
      <c r="A9440" t="str">
        <f>"MATN3"</f>
        <v>MATN3</v>
      </c>
      <c r="B9440" t="s">
        <v>4</v>
      </c>
    </row>
    <row r="9441" spans="1:2" x14ac:dyDescent="0.2">
      <c r="A9441" t="str">
        <f>"MATN4"</f>
        <v>MATN4</v>
      </c>
      <c r="B9441" t="s">
        <v>4</v>
      </c>
    </row>
    <row r="9442" spans="1:2" x14ac:dyDescent="0.2">
      <c r="A9442" t="str">
        <f>"MATR3"</f>
        <v>MATR3</v>
      </c>
      <c r="B9442" t="s">
        <v>3</v>
      </c>
    </row>
    <row r="9443" spans="1:2" x14ac:dyDescent="0.2">
      <c r="A9443" t="str">
        <f>"MAU2"</f>
        <v>MAU2</v>
      </c>
      <c r="B9443" t="s">
        <v>3</v>
      </c>
    </row>
    <row r="9444" spans="1:2" x14ac:dyDescent="0.2">
      <c r="A9444" t="str">
        <f>"MAVS"</f>
        <v>MAVS</v>
      </c>
      <c r="B9444" t="s">
        <v>6</v>
      </c>
    </row>
    <row r="9445" spans="1:2" x14ac:dyDescent="0.2">
      <c r="A9445" t="str">
        <f>"MAX"</f>
        <v>MAX</v>
      </c>
      <c r="B9445" t="s">
        <v>3</v>
      </c>
    </row>
    <row r="9446" spans="1:2" x14ac:dyDescent="0.2">
      <c r="A9446" t="str">
        <f>"MAZ"</f>
        <v>MAZ</v>
      </c>
      <c r="B9446" t="s">
        <v>8</v>
      </c>
    </row>
    <row r="9447" spans="1:2" x14ac:dyDescent="0.2">
      <c r="A9447" t="str">
        <f>"MB"</f>
        <v>MB</v>
      </c>
      <c r="B9447" t="s">
        <v>7</v>
      </c>
    </row>
    <row r="9448" spans="1:2" x14ac:dyDescent="0.2">
      <c r="A9448" t="str">
        <f>"MB21D1"</f>
        <v>MB21D1</v>
      </c>
      <c r="B9448" t="s">
        <v>4</v>
      </c>
    </row>
    <row r="9449" spans="1:2" x14ac:dyDescent="0.2">
      <c r="A9449" t="str">
        <f>"MB21D2"</f>
        <v>MB21D2</v>
      </c>
      <c r="B9449" t="s">
        <v>4</v>
      </c>
    </row>
    <row r="9450" spans="1:2" x14ac:dyDescent="0.2">
      <c r="A9450" t="str">
        <f>"MBD1"</f>
        <v>MBD1</v>
      </c>
      <c r="B9450" t="s">
        <v>8</v>
      </c>
    </row>
    <row r="9451" spans="1:2" x14ac:dyDescent="0.2">
      <c r="A9451" t="str">
        <f>"MBD2"</f>
        <v>MBD2</v>
      </c>
      <c r="B9451" t="s">
        <v>3</v>
      </c>
    </row>
    <row r="9452" spans="1:2" x14ac:dyDescent="0.2">
      <c r="A9452" t="str">
        <f>"MBD3"</f>
        <v>MBD3</v>
      </c>
      <c r="B9452" t="s">
        <v>6</v>
      </c>
    </row>
    <row r="9453" spans="1:2" x14ac:dyDescent="0.2">
      <c r="A9453" t="str">
        <f>"MBD3L1"</f>
        <v>MBD3L1</v>
      </c>
      <c r="B9453" t="s">
        <v>8</v>
      </c>
    </row>
    <row r="9454" spans="1:2" x14ac:dyDescent="0.2">
      <c r="A9454" t="str">
        <f>"MBD3L2"</f>
        <v>MBD3L2</v>
      </c>
      <c r="B9454" t="s">
        <v>4</v>
      </c>
    </row>
    <row r="9455" spans="1:2" x14ac:dyDescent="0.2">
      <c r="A9455" t="str">
        <f>"MBD3L3"</f>
        <v>MBD3L3</v>
      </c>
      <c r="B9455" t="s">
        <v>4</v>
      </c>
    </row>
    <row r="9456" spans="1:2" x14ac:dyDescent="0.2">
      <c r="A9456" t="str">
        <f>"MBD3L4"</f>
        <v>MBD3L4</v>
      </c>
      <c r="B9456" t="s">
        <v>4</v>
      </c>
    </row>
    <row r="9457" spans="1:2" x14ac:dyDescent="0.2">
      <c r="A9457" t="str">
        <f>"MBD3L5"</f>
        <v>MBD3L5</v>
      </c>
      <c r="B9457" t="s">
        <v>4</v>
      </c>
    </row>
    <row r="9458" spans="1:2" x14ac:dyDescent="0.2">
      <c r="A9458" t="str">
        <f>"MBD4"</f>
        <v>MBD4</v>
      </c>
      <c r="B9458" t="s">
        <v>3</v>
      </c>
    </row>
    <row r="9459" spans="1:2" x14ac:dyDescent="0.2">
      <c r="A9459" t="str">
        <f>"MBD5"</f>
        <v>MBD5</v>
      </c>
      <c r="B9459" t="s">
        <v>8</v>
      </c>
    </row>
    <row r="9460" spans="1:2" x14ac:dyDescent="0.2">
      <c r="A9460" t="str">
        <f>"MBD6"</f>
        <v>MBD6</v>
      </c>
      <c r="B9460" t="s">
        <v>2</v>
      </c>
    </row>
    <row r="9461" spans="1:2" x14ac:dyDescent="0.2">
      <c r="A9461" t="str">
        <f>"MBIP"</f>
        <v>MBIP</v>
      </c>
      <c r="B9461" t="s">
        <v>4</v>
      </c>
    </row>
    <row r="9462" spans="1:2" x14ac:dyDescent="0.2">
      <c r="A9462" t="str">
        <f>"MBL2"</f>
        <v>MBL2</v>
      </c>
      <c r="B9462" t="s">
        <v>7</v>
      </c>
    </row>
    <row r="9463" spans="1:2" x14ac:dyDescent="0.2">
      <c r="A9463" t="str">
        <f>"MBLAC1"</f>
        <v>MBLAC1</v>
      </c>
      <c r="B9463" t="s">
        <v>2</v>
      </c>
    </row>
    <row r="9464" spans="1:2" x14ac:dyDescent="0.2">
      <c r="A9464" t="str">
        <f>"MBLAC2"</f>
        <v>MBLAC2</v>
      </c>
      <c r="B9464" t="s">
        <v>4</v>
      </c>
    </row>
    <row r="9465" spans="1:2" x14ac:dyDescent="0.2">
      <c r="A9465" t="str">
        <f>"MBNL1"</f>
        <v>MBNL1</v>
      </c>
      <c r="B9465" t="s">
        <v>8</v>
      </c>
    </row>
    <row r="9466" spans="1:2" x14ac:dyDescent="0.2">
      <c r="A9466" t="str">
        <f>"MBNL2"</f>
        <v>MBNL2</v>
      </c>
      <c r="B9466" t="s">
        <v>2</v>
      </c>
    </row>
    <row r="9467" spans="1:2" x14ac:dyDescent="0.2">
      <c r="A9467" t="str">
        <f>"MBNL3"</f>
        <v>MBNL3</v>
      </c>
      <c r="B9467" t="s">
        <v>8</v>
      </c>
    </row>
    <row r="9468" spans="1:2" x14ac:dyDescent="0.2">
      <c r="A9468" t="str">
        <f>"MBOAT1"</f>
        <v>MBOAT1</v>
      </c>
      <c r="B9468" t="s">
        <v>5</v>
      </c>
    </row>
    <row r="9469" spans="1:2" x14ac:dyDescent="0.2">
      <c r="A9469" t="str">
        <f>"MBOAT2"</f>
        <v>MBOAT2</v>
      </c>
      <c r="B9469" t="s">
        <v>2</v>
      </c>
    </row>
    <row r="9470" spans="1:2" x14ac:dyDescent="0.2">
      <c r="A9470" t="str">
        <f>"MBOAT4"</f>
        <v>MBOAT4</v>
      </c>
      <c r="B9470" t="s">
        <v>5</v>
      </c>
    </row>
    <row r="9471" spans="1:2" x14ac:dyDescent="0.2">
      <c r="A9471" t="str">
        <f>"MBOAT7"</f>
        <v>MBOAT7</v>
      </c>
      <c r="B9471" t="s">
        <v>5</v>
      </c>
    </row>
    <row r="9472" spans="1:2" x14ac:dyDescent="0.2">
      <c r="A9472" t="str">
        <f>"MBP"</f>
        <v>MBP</v>
      </c>
      <c r="B9472" t="s">
        <v>3</v>
      </c>
    </row>
    <row r="9473" spans="1:2" x14ac:dyDescent="0.2">
      <c r="A9473" t="str">
        <f>"MBTD1"</f>
        <v>MBTD1</v>
      </c>
      <c r="B9473" t="s">
        <v>4</v>
      </c>
    </row>
    <row r="9474" spans="1:2" x14ac:dyDescent="0.2">
      <c r="A9474" t="str">
        <f>"MBTPS1"</f>
        <v>MBTPS1</v>
      </c>
      <c r="B9474" t="s">
        <v>2</v>
      </c>
    </row>
    <row r="9475" spans="1:2" x14ac:dyDescent="0.2">
      <c r="A9475" t="str">
        <f>"MBTPS2"</f>
        <v>MBTPS2</v>
      </c>
      <c r="B9475" t="s">
        <v>2</v>
      </c>
    </row>
    <row r="9476" spans="1:2" x14ac:dyDescent="0.2">
      <c r="A9476" t="str">
        <f>"MC1R"</f>
        <v>MC1R</v>
      </c>
      <c r="B9476" t="s">
        <v>5</v>
      </c>
    </row>
    <row r="9477" spans="1:2" x14ac:dyDescent="0.2">
      <c r="A9477" t="str">
        <f>"MC2R"</f>
        <v>MC2R</v>
      </c>
      <c r="B9477" t="s">
        <v>7</v>
      </c>
    </row>
    <row r="9478" spans="1:2" x14ac:dyDescent="0.2">
      <c r="A9478" t="str">
        <f>"MC3R"</f>
        <v>MC3R</v>
      </c>
      <c r="B9478" t="s">
        <v>5</v>
      </c>
    </row>
    <row r="9479" spans="1:2" x14ac:dyDescent="0.2">
      <c r="A9479" t="str">
        <f>"MC4R"</f>
        <v>MC4R</v>
      </c>
      <c r="B9479" t="s">
        <v>5</v>
      </c>
    </row>
    <row r="9480" spans="1:2" x14ac:dyDescent="0.2">
      <c r="A9480" t="str">
        <f>"MC5R"</f>
        <v>MC5R</v>
      </c>
      <c r="B9480" t="s">
        <v>5</v>
      </c>
    </row>
    <row r="9481" spans="1:2" x14ac:dyDescent="0.2">
      <c r="A9481" t="str">
        <f>"MCAM"</f>
        <v>MCAM</v>
      </c>
      <c r="B9481" t="s">
        <v>5</v>
      </c>
    </row>
    <row r="9482" spans="1:2" x14ac:dyDescent="0.2">
      <c r="A9482" t="str">
        <f>"MCAT"</f>
        <v>MCAT</v>
      </c>
      <c r="B9482" t="s">
        <v>3</v>
      </c>
    </row>
    <row r="9483" spans="1:2" x14ac:dyDescent="0.2">
      <c r="A9483" t="str">
        <f>"MCC"</f>
        <v>MCC</v>
      </c>
      <c r="B9483" t="s">
        <v>3</v>
      </c>
    </row>
    <row r="9484" spans="1:2" x14ac:dyDescent="0.2">
      <c r="A9484" t="str">
        <f>"MCCC1"</f>
        <v>MCCC1</v>
      </c>
      <c r="B9484" t="s">
        <v>7</v>
      </c>
    </row>
    <row r="9485" spans="1:2" x14ac:dyDescent="0.2">
      <c r="A9485" t="str">
        <f>"MCCC2"</f>
        <v>MCCC2</v>
      </c>
      <c r="B9485" t="s">
        <v>7</v>
      </c>
    </row>
    <row r="9486" spans="1:2" x14ac:dyDescent="0.2">
      <c r="A9486" t="str">
        <f>"MCCD1"</f>
        <v>MCCD1</v>
      </c>
      <c r="B9486" t="s">
        <v>6</v>
      </c>
    </row>
    <row r="9487" spans="1:2" x14ac:dyDescent="0.2">
      <c r="A9487" t="str">
        <f>"MCEE"</f>
        <v>MCEE</v>
      </c>
      <c r="B9487" t="s">
        <v>6</v>
      </c>
    </row>
    <row r="9488" spans="1:2" x14ac:dyDescent="0.2">
      <c r="A9488" t="str">
        <f>"MCF2"</f>
        <v>MCF2</v>
      </c>
      <c r="B9488" t="s">
        <v>6</v>
      </c>
    </row>
    <row r="9489" spans="1:2" x14ac:dyDescent="0.2">
      <c r="A9489" t="str">
        <f>"MCF2L"</f>
        <v>MCF2L</v>
      </c>
      <c r="B9489" t="s">
        <v>6</v>
      </c>
    </row>
    <row r="9490" spans="1:2" x14ac:dyDescent="0.2">
      <c r="A9490" t="str">
        <f>"MCF2L2"</f>
        <v>MCF2L2</v>
      </c>
      <c r="B9490" t="s">
        <v>6</v>
      </c>
    </row>
    <row r="9491" spans="1:2" x14ac:dyDescent="0.2">
      <c r="A9491" t="str">
        <f>"MCFD2"</f>
        <v>MCFD2</v>
      </c>
      <c r="B9491" t="s">
        <v>7</v>
      </c>
    </row>
    <row r="9492" spans="1:2" x14ac:dyDescent="0.2">
      <c r="A9492" t="str">
        <f>"MCHR1"</f>
        <v>MCHR1</v>
      </c>
      <c r="B9492" t="s">
        <v>5</v>
      </c>
    </row>
    <row r="9493" spans="1:2" x14ac:dyDescent="0.2">
      <c r="A9493" t="str">
        <f>"MCHR2"</f>
        <v>MCHR2</v>
      </c>
      <c r="B9493" t="s">
        <v>5</v>
      </c>
    </row>
    <row r="9494" spans="1:2" x14ac:dyDescent="0.2">
      <c r="A9494" t="str">
        <f>"MCIDAS"</f>
        <v>MCIDAS</v>
      </c>
      <c r="B9494" t="s">
        <v>4</v>
      </c>
    </row>
    <row r="9495" spans="1:2" x14ac:dyDescent="0.2">
      <c r="A9495" t="str">
        <f>"MCL1"</f>
        <v>MCL1</v>
      </c>
      <c r="B9495" t="s">
        <v>3</v>
      </c>
    </row>
    <row r="9496" spans="1:2" x14ac:dyDescent="0.2">
      <c r="A9496" t="str">
        <f>"MCM10"</f>
        <v>MCM10</v>
      </c>
      <c r="B9496" t="s">
        <v>6</v>
      </c>
    </row>
    <row r="9497" spans="1:2" x14ac:dyDescent="0.2">
      <c r="A9497" t="str">
        <f>"MCM2"</f>
        <v>MCM2</v>
      </c>
      <c r="B9497" t="s">
        <v>3</v>
      </c>
    </row>
    <row r="9498" spans="1:2" x14ac:dyDescent="0.2">
      <c r="A9498" t="str">
        <f>"MCM3"</f>
        <v>MCM3</v>
      </c>
      <c r="B9498" t="s">
        <v>3</v>
      </c>
    </row>
    <row r="9499" spans="1:2" x14ac:dyDescent="0.2">
      <c r="A9499" t="str">
        <f>"MCM3AP"</f>
        <v>MCM3AP</v>
      </c>
      <c r="B9499" t="s">
        <v>3</v>
      </c>
    </row>
    <row r="9500" spans="1:2" x14ac:dyDescent="0.2">
      <c r="A9500" t="str">
        <f>"MCM4"</f>
        <v>MCM4</v>
      </c>
      <c r="B9500" t="s">
        <v>3</v>
      </c>
    </row>
    <row r="9501" spans="1:2" x14ac:dyDescent="0.2">
      <c r="A9501" t="str">
        <f>"MCM5"</f>
        <v>MCM5</v>
      </c>
      <c r="B9501" t="s">
        <v>3</v>
      </c>
    </row>
    <row r="9502" spans="1:2" x14ac:dyDescent="0.2">
      <c r="A9502" t="str">
        <f>"MCM6"</f>
        <v>MCM6</v>
      </c>
      <c r="B9502" t="s">
        <v>3</v>
      </c>
    </row>
    <row r="9503" spans="1:2" x14ac:dyDescent="0.2">
      <c r="A9503" t="str">
        <f>"MCM7"</f>
        <v>MCM7</v>
      </c>
      <c r="B9503" t="s">
        <v>3</v>
      </c>
    </row>
    <row r="9504" spans="1:2" x14ac:dyDescent="0.2">
      <c r="A9504" t="str">
        <f>"MCM8"</f>
        <v>MCM8</v>
      </c>
      <c r="B9504" t="s">
        <v>3</v>
      </c>
    </row>
    <row r="9505" spans="1:2" x14ac:dyDescent="0.2">
      <c r="A9505" t="str">
        <f>"MCM9"</f>
        <v>MCM9</v>
      </c>
      <c r="B9505" t="s">
        <v>8</v>
      </c>
    </row>
    <row r="9506" spans="1:2" x14ac:dyDescent="0.2">
      <c r="A9506" t="str">
        <f>"MCMBP"</f>
        <v>MCMBP</v>
      </c>
      <c r="B9506" t="s">
        <v>4</v>
      </c>
    </row>
    <row r="9507" spans="1:2" x14ac:dyDescent="0.2">
      <c r="A9507" t="str">
        <f>"MCMDC2"</f>
        <v>MCMDC2</v>
      </c>
      <c r="B9507" t="s">
        <v>8</v>
      </c>
    </row>
    <row r="9508" spans="1:2" x14ac:dyDescent="0.2">
      <c r="A9508" t="str">
        <f>"MCOLN1"</f>
        <v>MCOLN1</v>
      </c>
      <c r="B9508" t="s">
        <v>2</v>
      </c>
    </row>
    <row r="9509" spans="1:2" x14ac:dyDescent="0.2">
      <c r="A9509" t="str">
        <f>"MCOLN2"</f>
        <v>MCOLN2</v>
      </c>
      <c r="B9509" t="s">
        <v>5</v>
      </c>
    </row>
    <row r="9510" spans="1:2" x14ac:dyDescent="0.2">
      <c r="A9510" t="str">
        <f>"MCOLN3"</f>
        <v>MCOLN3</v>
      </c>
      <c r="B9510" t="s">
        <v>6</v>
      </c>
    </row>
    <row r="9511" spans="1:2" x14ac:dyDescent="0.2">
      <c r="A9511" t="str">
        <f>"MCPH1"</f>
        <v>MCPH1</v>
      </c>
      <c r="B9511" t="s">
        <v>3</v>
      </c>
    </row>
    <row r="9512" spans="1:2" x14ac:dyDescent="0.2">
      <c r="A9512" t="str">
        <f>"MCRS1"</f>
        <v>MCRS1</v>
      </c>
      <c r="B9512" t="s">
        <v>8</v>
      </c>
    </row>
    <row r="9513" spans="1:2" x14ac:dyDescent="0.2">
      <c r="A9513" t="str">
        <f>"MCTP1"</f>
        <v>MCTP1</v>
      </c>
      <c r="B9513" t="s">
        <v>6</v>
      </c>
    </row>
    <row r="9514" spans="1:2" x14ac:dyDescent="0.2">
      <c r="A9514" t="str">
        <f>"MCTP2"</f>
        <v>MCTP2</v>
      </c>
      <c r="B9514" t="s">
        <v>5</v>
      </c>
    </row>
    <row r="9515" spans="1:2" x14ac:dyDescent="0.2">
      <c r="A9515" t="str">
        <f>"MCTS1"</f>
        <v>MCTS1</v>
      </c>
      <c r="B9515" t="s">
        <v>3</v>
      </c>
    </row>
    <row r="9516" spans="1:2" x14ac:dyDescent="0.2">
      <c r="A9516" t="str">
        <f>"MCU"</f>
        <v>MCU</v>
      </c>
      <c r="B9516" t="s">
        <v>6</v>
      </c>
    </row>
    <row r="9517" spans="1:2" x14ac:dyDescent="0.2">
      <c r="A9517" t="str">
        <f>"MCUR1"</f>
        <v>MCUR1</v>
      </c>
      <c r="B9517" t="s">
        <v>6</v>
      </c>
    </row>
    <row r="9518" spans="1:2" x14ac:dyDescent="0.2">
      <c r="A9518" t="str">
        <f>"MDC1"</f>
        <v>MDC1</v>
      </c>
      <c r="B9518" t="s">
        <v>3</v>
      </c>
    </row>
    <row r="9519" spans="1:2" x14ac:dyDescent="0.2">
      <c r="A9519" t="str">
        <f>"MDFI"</f>
        <v>MDFI</v>
      </c>
      <c r="B9519" t="s">
        <v>8</v>
      </c>
    </row>
    <row r="9520" spans="1:2" x14ac:dyDescent="0.2">
      <c r="A9520" t="str">
        <f>"MDFIC"</f>
        <v>MDFIC</v>
      </c>
      <c r="B9520" t="s">
        <v>8</v>
      </c>
    </row>
    <row r="9521" spans="1:2" x14ac:dyDescent="0.2">
      <c r="A9521" t="str">
        <f>"MDGA1"</f>
        <v>MDGA1</v>
      </c>
      <c r="B9521" t="s">
        <v>2</v>
      </c>
    </row>
    <row r="9522" spans="1:2" x14ac:dyDescent="0.2">
      <c r="A9522" t="str">
        <f>"MDGA2"</f>
        <v>MDGA2</v>
      </c>
      <c r="B9522" t="s">
        <v>5</v>
      </c>
    </row>
    <row r="9523" spans="1:2" x14ac:dyDescent="0.2">
      <c r="A9523" t="str">
        <f>"MDH1"</f>
        <v>MDH1</v>
      </c>
      <c r="B9523" t="s">
        <v>3</v>
      </c>
    </row>
    <row r="9524" spans="1:2" x14ac:dyDescent="0.2">
      <c r="A9524" t="str">
        <f>"MDH1B"</f>
        <v>MDH1B</v>
      </c>
      <c r="B9524" t="s">
        <v>4</v>
      </c>
    </row>
    <row r="9525" spans="1:2" x14ac:dyDescent="0.2">
      <c r="A9525" t="str">
        <f>"MDH2"</f>
        <v>MDH2</v>
      </c>
      <c r="B9525" t="s">
        <v>3</v>
      </c>
    </row>
    <row r="9526" spans="1:2" x14ac:dyDescent="0.2">
      <c r="A9526" t="str">
        <f>"MDK"</f>
        <v>MDK</v>
      </c>
      <c r="B9526" t="s">
        <v>3</v>
      </c>
    </row>
    <row r="9527" spans="1:2" x14ac:dyDescent="0.2">
      <c r="A9527" t="str">
        <f>"MDM1"</f>
        <v>MDM1</v>
      </c>
      <c r="B9527" t="s">
        <v>5</v>
      </c>
    </row>
    <row r="9528" spans="1:2" x14ac:dyDescent="0.2">
      <c r="A9528" t="str">
        <f>"MDM2"</f>
        <v>MDM2</v>
      </c>
      <c r="B9528" t="s">
        <v>3</v>
      </c>
    </row>
    <row r="9529" spans="1:2" x14ac:dyDescent="0.2">
      <c r="A9529" t="str">
        <f>"MDM4"</f>
        <v>MDM4</v>
      </c>
      <c r="B9529" t="s">
        <v>3</v>
      </c>
    </row>
    <row r="9530" spans="1:2" x14ac:dyDescent="0.2">
      <c r="A9530" t="str">
        <f>"MDN1"</f>
        <v>MDN1</v>
      </c>
      <c r="B9530" t="s">
        <v>6</v>
      </c>
    </row>
    <row r="9531" spans="1:2" x14ac:dyDescent="0.2">
      <c r="A9531" t="str">
        <f>"MDP1"</f>
        <v>MDP1</v>
      </c>
      <c r="B9531" t="s">
        <v>8</v>
      </c>
    </row>
    <row r="9532" spans="1:2" x14ac:dyDescent="0.2">
      <c r="A9532" t="str">
        <f>"ME1"</f>
        <v>ME1</v>
      </c>
      <c r="B9532" t="s">
        <v>3</v>
      </c>
    </row>
    <row r="9533" spans="1:2" x14ac:dyDescent="0.2">
      <c r="A9533" t="str">
        <f>"ME2"</f>
        <v>ME2</v>
      </c>
      <c r="B9533" t="s">
        <v>7</v>
      </c>
    </row>
    <row r="9534" spans="1:2" x14ac:dyDescent="0.2">
      <c r="A9534" t="str">
        <f>"ME3"</f>
        <v>ME3</v>
      </c>
      <c r="B9534" t="s">
        <v>7</v>
      </c>
    </row>
    <row r="9535" spans="1:2" x14ac:dyDescent="0.2">
      <c r="A9535" t="str">
        <f>"MEA1"</f>
        <v>MEA1</v>
      </c>
      <c r="B9535" t="s">
        <v>4</v>
      </c>
    </row>
    <row r="9536" spans="1:2" x14ac:dyDescent="0.2">
      <c r="A9536" t="str">
        <f>"MEAF6"</f>
        <v>MEAF6</v>
      </c>
      <c r="B9536" t="s">
        <v>8</v>
      </c>
    </row>
    <row r="9537" spans="1:2" x14ac:dyDescent="0.2">
      <c r="A9537" t="str">
        <f>"MECOM"</f>
        <v>MECOM</v>
      </c>
      <c r="B9537" t="s">
        <v>3</v>
      </c>
    </row>
    <row r="9538" spans="1:2" x14ac:dyDescent="0.2">
      <c r="A9538" t="str">
        <f>"MECP2"</f>
        <v>MECP2</v>
      </c>
      <c r="B9538" t="s">
        <v>8</v>
      </c>
    </row>
    <row r="9539" spans="1:2" x14ac:dyDescent="0.2">
      <c r="A9539" t="str">
        <f>"MECR"</f>
        <v>MECR</v>
      </c>
      <c r="B9539" t="s">
        <v>6</v>
      </c>
    </row>
    <row r="9540" spans="1:2" x14ac:dyDescent="0.2">
      <c r="A9540" t="str">
        <f>"MED1"</f>
        <v>MED1</v>
      </c>
      <c r="B9540" t="s">
        <v>7</v>
      </c>
    </row>
    <row r="9541" spans="1:2" x14ac:dyDescent="0.2">
      <c r="A9541" t="str">
        <f>"MED10"</f>
        <v>MED10</v>
      </c>
      <c r="B9541" t="s">
        <v>8</v>
      </c>
    </row>
    <row r="9542" spans="1:2" x14ac:dyDescent="0.2">
      <c r="A9542" t="str">
        <f>"MED11"</f>
        <v>MED11</v>
      </c>
      <c r="B9542" t="s">
        <v>8</v>
      </c>
    </row>
    <row r="9543" spans="1:2" x14ac:dyDescent="0.2">
      <c r="A9543" t="str">
        <f>"MED12"</f>
        <v>MED12</v>
      </c>
      <c r="B9543" t="s">
        <v>8</v>
      </c>
    </row>
    <row r="9544" spans="1:2" x14ac:dyDescent="0.2">
      <c r="A9544" t="str">
        <f>"MED12L"</f>
        <v>MED12L</v>
      </c>
      <c r="B9544" t="s">
        <v>8</v>
      </c>
    </row>
    <row r="9545" spans="1:2" x14ac:dyDescent="0.2">
      <c r="A9545" t="str">
        <f>"MED13"</f>
        <v>MED13</v>
      </c>
      <c r="B9545" t="s">
        <v>8</v>
      </c>
    </row>
    <row r="9546" spans="1:2" x14ac:dyDescent="0.2">
      <c r="A9546" t="str">
        <f>"MED13L"</f>
        <v>MED13L</v>
      </c>
      <c r="B9546" t="s">
        <v>8</v>
      </c>
    </row>
    <row r="9547" spans="1:2" x14ac:dyDescent="0.2">
      <c r="A9547" t="str">
        <f>"MED14"</f>
        <v>MED14</v>
      </c>
      <c r="B9547" t="s">
        <v>8</v>
      </c>
    </row>
    <row r="9548" spans="1:2" x14ac:dyDescent="0.2">
      <c r="A9548" t="str">
        <f>"MED15"</f>
        <v>MED15</v>
      </c>
      <c r="B9548" t="s">
        <v>8</v>
      </c>
    </row>
    <row r="9549" spans="1:2" x14ac:dyDescent="0.2">
      <c r="A9549" t="str">
        <f>"MED16"</f>
        <v>MED16</v>
      </c>
      <c r="B9549" t="s">
        <v>8</v>
      </c>
    </row>
    <row r="9550" spans="1:2" x14ac:dyDescent="0.2">
      <c r="A9550" t="str">
        <f>"MED17"</f>
        <v>MED17</v>
      </c>
      <c r="B9550" t="s">
        <v>8</v>
      </c>
    </row>
    <row r="9551" spans="1:2" x14ac:dyDescent="0.2">
      <c r="A9551" t="str">
        <f>"MED18"</f>
        <v>MED18</v>
      </c>
      <c r="B9551" t="s">
        <v>8</v>
      </c>
    </row>
    <row r="9552" spans="1:2" x14ac:dyDescent="0.2">
      <c r="A9552" t="str">
        <f>"MED19"</f>
        <v>MED19</v>
      </c>
      <c r="B9552" t="s">
        <v>8</v>
      </c>
    </row>
    <row r="9553" spans="1:2" x14ac:dyDescent="0.2">
      <c r="A9553" t="str">
        <f>"MED20"</f>
        <v>MED20</v>
      </c>
      <c r="B9553" t="s">
        <v>8</v>
      </c>
    </row>
    <row r="9554" spans="1:2" x14ac:dyDescent="0.2">
      <c r="A9554" t="str">
        <f>"MED21"</f>
        <v>MED21</v>
      </c>
      <c r="B9554" t="s">
        <v>8</v>
      </c>
    </row>
    <row r="9555" spans="1:2" x14ac:dyDescent="0.2">
      <c r="A9555" t="str">
        <f>"MED22"</f>
        <v>MED22</v>
      </c>
      <c r="B9555" t="s">
        <v>8</v>
      </c>
    </row>
    <row r="9556" spans="1:2" x14ac:dyDescent="0.2">
      <c r="A9556" t="str">
        <f>"MED23"</f>
        <v>MED23</v>
      </c>
      <c r="B9556" t="s">
        <v>8</v>
      </c>
    </row>
    <row r="9557" spans="1:2" x14ac:dyDescent="0.2">
      <c r="A9557" t="str">
        <f>"MED24"</f>
        <v>MED24</v>
      </c>
      <c r="B9557" t="s">
        <v>8</v>
      </c>
    </row>
    <row r="9558" spans="1:2" x14ac:dyDescent="0.2">
      <c r="A9558" t="str">
        <f>"MED25"</f>
        <v>MED25</v>
      </c>
      <c r="B9558" t="s">
        <v>8</v>
      </c>
    </row>
    <row r="9559" spans="1:2" x14ac:dyDescent="0.2">
      <c r="A9559" t="str">
        <f>"MED26"</f>
        <v>MED26</v>
      </c>
      <c r="B9559" t="s">
        <v>8</v>
      </c>
    </row>
    <row r="9560" spans="1:2" x14ac:dyDescent="0.2">
      <c r="A9560" t="str">
        <f>"MED27"</f>
        <v>MED27</v>
      </c>
      <c r="B9560" t="s">
        <v>8</v>
      </c>
    </row>
    <row r="9561" spans="1:2" x14ac:dyDescent="0.2">
      <c r="A9561" t="str">
        <f>"MED28"</f>
        <v>MED28</v>
      </c>
      <c r="B9561" t="s">
        <v>8</v>
      </c>
    </row>
    <row r="9562" spans="1:2" x14ac:dyDescent="0.2">
      <c r="A9562" t="str">
        <f>"MED29"</f>
        <v>MED29</v>
      </c>
      <c r="B9562" t="s">
        <v>8</v>
      </c>
    </row>
    <row r="9563" spans="1:2" x14ac:dyDescent="0.2">
      <c r="A9563" t="str">
        <f>"MED30"</f>
        <v>MED30</v>
      </c>
      <c r="B9563" t="s">
        <v>8</v>
      </c>
    </row>
    <row r="9564" spans="1:2" x14ac:dyDescent="0.2">
      <c r="A9564" t="str">
        <f>"MED31"</f>
        <v>MED31</v>
      </c>
      <c r="B9564" t="s">
        <v>8</v>
      </c>
    </row>
    <row r="9565" spans="1:2" x14ac:dyDescent="0.2">
      <c r="A9565" t="str">
        <f>"MED4"</f>
        <v>MED4</v>
      </c>
      <c r="B9565" t="s">
        <v>8</v>
      </c>
    </row>
    <row r="9566" spans="1:2" x14ac:dyDescent="0.2">
      <c r="A9566" t="str">
        <f>"MED6"</f>
        <v>MED6</v>
      </c>
      <c r="B9566" t="s">
        <v>8</v>
      </c>
    </row>
    <row r="9567" spans="1:2" x14ac:dyDescent="0.2">
      <c r="A9567" t="str">
        <f>"MED7"</f>
        <v>MED7</v>
      </c>
      <c r="B9567" t="s">
        <v>8</v>
      </c>
    </row>
    <row r="9568" spans="1:2" x14ac:dyDescent="0.2">
      <c r="A9568" t="str">
        <f>"MED8"</f>
        <v>MED8</v>
      </c>
      <c r="B9568" t="s">
        <v>8</v>
      </c>
    </row>
    <row r="9569" spans="1:2" x14ac:dyDescent="0.2">
      <c r="A9569" t="str">
        <f>"MED9"</f>
        <v>MED9</v>
      </c>
      <c r="B9569" t="s">
        <v>8</v>
      </c>
    </row>
    <row r="9570" spans="1:2" x14ac:dyDescent="0.2">
      <c r="A9570" t="str">
        <f>"MEDAG"</f>
        <v>MEDAG</v>
      </c>
      <c r="B9570" t="s">
        <v>4</v>
      </c>
    </row>
    <row r="9571" spans="1:2" x14ac:dyDescent="0.2">
      <c r="A9571" t="str">
        <f>"MEF2A"</f>
        <v>MEF2A</v>
      </c>
      <c r="B9571" t="s">
        <v>8</v>
      </c>
    </row>
    <row r="9572" spans="1:2" x14ac:dyDescent="0.2">
      <c r="A9572" t="str">
        <f>"MEF2B"</f>
        <v>MEF2B</v>
      </c>
      <c r="B9572" t="s">
        <v>4</v>
      </c>
    </row>
    <row r="9573" spans="1:2" x14ac:dyDescent="0.2">
      <c r="A9573" t="str">
        <f>"MEF2BNB"</f>
        <v>MEF2BNB</v>
      </c>
      <c r="B9573" t="s">
        <v>8</v>
      </c>
    </row>
    <row r="9574" spans="1:2" x14ac:dyDescent="0.2">
      <c r="A9574" t="str">
        <f>"MEF2BNB-MEF2B"</f>
        <v>MEF2BNB-MEF2B</v>
      </c>
      <c r="B9574" t="s">
        <v>8</v>
      </c>
    </row>
    <row r="9575" spans="1:2" x14ac:dyDescent="0.2">
      <c r="A9575" t="str">
        <f>"MEF2C"</f>
        <v>MEF2C</v>
      </c>
      <c r="B9575" t="s">
        <v>3</v>
      </c>
    </row>
    <row r="9576" spans="1:2" x14ac:dyDescent="0.2">
      <c r="A9576" t="str">
        <f>"MEF2D"</f>
        <v>MEF2D</v>
      </c>
      <c r="B9576" t="s">
        <v>8</v>
      </c>
    </row>
    <row r="9577" spans="1:2" x14ac:dyDescent="0.2">
      <c r="A9577" t="str">
        <f>"MEFV"</f>
        <v>MEFV</v>
      </c>
      <c r="B9577" t="s">
        <v>2</v>
      </c>
    </row>
    <row r="9578" spans="1:2" x14ac:dyDescent="0.2">
      <c r="A9578" t="str">
        <f>"MEGF10"</f>
        <v>MEGF10</v>
      </c>
      <c r="B9578" t="s">
        <v>6</v>
      </c>
    </row>
    <row r="9579" spans="1:2" x14ac:dyDescent="0.2">
      <c r="A9579" t="str">
        <f>"MEGF11"</f>
        <v>MEGF11</v>
      </c>
      <c r="B9579" t="s">
        <v>5</v>
      </c>
    </row>
    <row r="9580" spans="1:2" x14ac:dyDescent="0.2">
      <c r="A9580" t="str">
        <f>"MEGF6"</f>
        <v>MEGF6</v>
      </c>
      <c r="B9580" t="s">
        <v>4</v>
      </c>
    </row>
    <row r="9581" spans="1:2" x14ac:dyDescent="0.2">
      <c r="A9581" t="str">
        <f>"MEGF8"</f>
        <v>MEGF8</v>
      </c>
      <c r="B9581" t="s">
        <v>5</v>
      </c>
    </row>
    <row r="9582" spans="1:2" x14ac:dyDescent="0.2">
      <c r="A9582" t="str">
        <f>"MEGF9"</f>
        <v>MEGF9</v>
      </c>
      <c r="B9582" t="s">
        <v>5</v>
      </c>
    </row>
    <row r="9583" spans="1:2" x14ac:dyDescent="0.2">
      <c r="A9583" t="str">
        <f>"MEI1"</f>
        <v>MEI1</v>
      </c>
      <c r="B9583" t="s">
        <v>2</v>
      </c>
    </row>
    <row r="9584" spans="1:2" x14ac:dyDescent="0.2">
      <c r="A9584" t="str">
        <f>"MEIG1"</f>
        <v>MEIG1</v>
      </c>
      <c r="B9584" t="s">
        <v>4</v>
      </c>
    </row>
    <row r="9585" spans="1:2" x14ac:dyDescent="0.2">
      <c r="A9585" t="str">
        <f>"MEIOB"</f>
        <v>MEIOB</v>
      </c>
      <c r="B9585" t="s">
        <v>4</v>
      </c>
    </row>
    <row r="9586" spans="1:2" x14ac:dyDescent="0.2">
      <c r="A9586" t="str">
        <f>"MEIS1"</f>
        <v>MEIS1</v>
      </c>
      <c r="B9586" t="s">
        <v>2</v>
      </c>
    </row>
    <row r="9587" spans="1:2" x14ac:dyDescent="0.2">
      <c r="A9587" t="str">
        <f>"MEIS2"</f>
        <v>MEIS2</v>
      </c>
      <c r="B9587" t="s">
        <v>8</v>
      </c>
    </row>
    <row r="9588" spans="1:2" x14ac:dyDescent="0.2">
      <c r="A9588" t="str">
        <f>"MEIS3"</f>
        <v>MEIS3</v>
      </c>
      <c r="B9588" t="s">
        <v>8</v>
      </c>
    </row>
    <row r="9589" spans="1:2" x14ac:dyDescent="0.2">
      <c r="A9589" t="str">
        <f>"MELK"</f>
        <v>MELK</v>
      </c>
      <c r="B9589" t="s">
        <v>7</v>
      </c>
    </row>
    <row r="9590" spans="1:2" x14ac:dyDescent="0.2">
      <c r="A9590" t="str">
        <f>"MEMO1"</f>
        <v>MEMO1</v>
      </c>
      <c r="B9590" t="s">
        <v>6</v>
      </c>
    </row>
    <row r="9591" spans="1:2" x14ac:dyDescent="0.2">
      <c r="A9591" t="str">
        <f>"MEN1"</f>
        <v>MEN1</v>
      </c>
      <c r="B9591" t="s">
        <v>3</v>
      </c>
    </row>
    <row r="9592" spans="1:2" x14ac:dyDescent="0.2">
      <c r="A9592" t="str">
        <f>"MEOX1"</f>
        <v>MEOX1</v>
      </c>
      <c r="B9592" t="s">
        <v>2</v>
      </c>
    </row>
    <row r="9593" spans="1:2" x14ac:dyDescent="0.2">
      <c r="A9593" t="str">
        <f>"MEOX2"</f>
        <v>MEOX2</v>
      </c>
      <c r="B9593" t="s">
        <v>3</v>
      </c>
    </row>
    <row r="9594" spans="1:2" x14ac:dyDescent="0.2">
      <c r="A9594" t="str">
        <f>"MEP1A"</f>
        <v>MEP1A</v>
      </c>
      <c r="B9594" t="s">
        <v>2</v>
      </c>
    </row>
    <row r="9595" spans="1:2" x14ac:dyDescent="0.2">
      <c r="A9595" t="str">
        <f>"MEP1B"</f>
        <v>MEP1B</v>
      </c>
      <c r="B9595" t="s">
        <v>2</v>
      </c>
    </row>
    <row r="9596" spans="1:2" x14ac:dyDescent="0.2">
      <c r="A9596" t="str">
        <f>"MEPCE"</f>
        <v>MEPCE</v>
      </c>
      <c r="B9596" t="s">
        <v>3</v>
      </c>
    </row>
    <row r="9597" spans="1:2" x14ac:dyDescent="0.2">
      <c r="A9597" t="str">
        <f>"MEPE"</f>
        <v>MEPE</v>
      </c>
      <c r="B9597" t="s">
        <v>4</v>
      </c>
    </row>
    <row r="9598" spans="1:2" x14ac:dyDescent="0.2">
      <c r="A9598" t="str">
        <f>"MERTK"</f>
        <v>MERTK</v>
      </c>
      <c r="B9598" t="s">
        <v>7</v>
      </c>
    </row>
    <row r="9599" spans="1:2" x14ac:dyDescent="0.2">
      <c r="A9599" t="str">
        <f>"MESDC1"</f>
        <v>MESDC1</v>
      </c>
      <c r="B9599" t="s">
        <v>4</v>
      </c>
    </row>
    <row r="9600" spans="1:2" x14ac:dyDescent="0.2">
      <c r="A9600" t="str">
        <f>"MESDC2"</f>
        <v>MESDC2</v>
      </c>
      <c r="B9600" t="s">
        <v>2</v>
      </c>
    </row>
    <row r="9601" spans="1:2" x14ac:dyDescent="0.2">
      <c r="A9601" t="str">
        <f>"MESP1"</f>
        <v>MESP1</v>
      </c>
      <c r="B9601" t="s">
        <v>8</v>
      </c>
    </row>
    <row r="9602" spans="1:2" x14ac:dyDescent="0.2">
      <c r="A9602" t="str">
        <f>"MESP2"</f>
        <v>MESP2</v>
      </c>
      <c r="B9602" t="s">
        <v>8</v>
      </c>
    </row>
    <row r="9603" spans="1:2" x14ac:dyDescent="0.2">
      <c r="A9603" t="str">
        <f>"MEST"</f>
        <v>MEST</v>
      </c>
      <c r="B9603" t="s">
        <v>5</v>
      </c>
    </row>
    <row r="9604" spans="1:2" x14ac:dyDescent="0.2">
      <c r="A9604" t="str">
        <f>"MET"</f>
        <v>MET</v>
      </c>
      <c r="B9604" t="s">
        <v>7</v>
      </c>
    </row>
    <row r="9605" spans="1:2" x14ac:dyDescent="0.2">
      <c r="A9605" t="str">
        <f>"METAP1"</f>
        <v>METAP1</v>
      </c>
      <c r="B9605" t="s">
        <v>7</v>
      </c>
    </row>
    <row r="9606" spans="1:2" x14ac:dyDescent="0.2">
      <c r="A9606" t="str">
        <f>"METAP1D"</f>
        <v>METAP1D</v>
      </c>
      <c r="B9606" t="s">
        <v>2</v>
      </c>
    </row>
    <row r="9607" spans="1:2" x14ac:dyDescent="0.2">
      <c r="A9607" t="str">
        <f>"METAP2"</f>
        <v>METAP2</v>
      </c>
      <c r="B9607" t="s">
        <v>7</v>
      </c>
    </row>
    <row r="9608" spans="1:2" x14ac:dyDescent="0.2">
      <c r="A9608" t="str">
        <f>"METRN"</f>
        <v>METRN</v>
      </c>
      <c r="B9608" t="s">
        <v>4</v>
      </c>
    </row>
    <row r="9609" spans="1:2" x14ac:dyDescent="0.2">
      <c r="A9609" t="str">
        <f>"METRNL"</f>
        <v>METRNL</v>
      </c>
      <c r="B9609" t="s">
        <v>2</v>
      </c>
    </row>
    <row r="9610" spans="1:2" x14ac:dyDescent="0.2">
      <c r="A9610" t="str">
        <f>"METTL1"</f>
        <v>METTL1</v>
      </c>
      <c r="B9610" t="s">
        <v>2</v>
      </c>
    </row>
    <row r="9611" spans="1:2" x14ac:dyDescent="0.2">
      <c r="A9611" t="str">
        <f>"METTL10"</f>
        <v>METTL10</v>
      </c>
      <c r="B9611" t="s">
        <v>3</v>
      </c>
    </row>
    <row r="9612" spans="1:2" x14ac:dyDescent="0.2">
      <c r="A9612" t="str">
        <f>"METTL11B"</f>
        <v>METTL11B</v>
      </c>
      <c r="B9612" t="s">
        <v>4</v>
      </c>
    </row>
    <row r="9613" spans="1:2" x14ac:dyDescent="0.2">
      <c r="A9613" t="str">
        <f>"METTL12"</f>
        <v>METTL12</v>
      </c>
      <c r="B9613" t="s">
        <v>6</v>
      </c>
    </row>
    <row r="9614" spans="1:2" x14ac:dyDescent="0.2">
      <c r="A9614" t="str">
        <f>"METTL13"</f>
        <v>METTL13</v>
      </c>
      <c r="B9614" t="s">
        <v>4</v>
      </c>
    </row>
    <row r="9615" spans="1:2" x14ac:dyDescent="0.2">
      <c r="A9615" t="str">
        <f>"METTL14"</f>
        <v>METTL14</v>
      </c>
      <c r="B9615" t="s">
        <v>3</v>
      </c>
    </row>
    <row r="9616" spans="1:2" x14ac:dyDescent="0.2">
      <c r="A9616" t="str">
        <f>"METTL15"</f>
        <v>METTL15</v>
      </c>
      <c r="B9616" t="s">
        <v>5</v>
      </c>
    </row>
    <row r="9617" spans="1:2" x14ac:dyDescent="0.2">
      <c r="A9617" t="str">
        <f>"METTL16"</f>
        <v>METTL16</v>
      </c>
      <c r="B9617" t="s">
        <v>4</v>
      </c>
    </row>
    <row r="9618" spans="1:2" x14ac:dyDescent="0.2">
      <c r="A9618" t="str">
        <f>"METTL17"</f>
        <v>METTL17</v>
      </c>
      <c r="B9618" t="s">
        <v>6</v>
      </c>
    </row>
    <row r="9619" spans="1:2" x14ac:dyDescent="0.2">
      <c r="A9619" t="str">
        <f>"METTL18"</f>
        <v>METTL18</v>
      </c>
      <c r="B9619" t="s">
        <v>4</v>
      </c>
    </row>
    <row r="9620" spans="1:2" x14ac:dyDescent="0.2">
      <c r="A9620" t="str">
        <f>"METTL20"</f>
        <v>METTL20</v>
      </c>
      <c r="B9620" t="s">
        <v>4</v>
      </c>
    </row>
    <row r="9621" spans="1:2" x14ac:dyDescent="0.2">
      <c r="A9621" t="str">
        <f>"METTL21A"</f>
        <v>METTL21A</v>
      </c>
      <c r="B9621" t="s">
        <v>5</v>
      </c>
    </row>
    <row r="9622" spans="1:2" x14ac:dyDescent="0.2">
      <c r="A9622" t="str">
        <f>"METTL21B"</f>
        <v>METTL21B</v>
      </c>
      <c r="B9622" t="s">
        <v>2</v>
      </c>
    </row>
    <row r="9623" spans="1:2" x14ac:dyDescent="0.2">
      <c r="A9623" t="str">
        <f>"METTL21C"</f>
        <v>METTL21C</v>
      </c>
      <c r="B9623" t="s">
        <v>4</v>
      </c>
    </row>
    <row r="9624" spans="1:2" x14ac:dyDescent="0.2">
      <c r="A9624" t="str">
        <f>"METTL22"</f>
        <v>METTL22</v>
      </c>
      <c r="B9624" t="s">
        <v>4</v>
      </c>
    </row>
    <row r="9625" spans="1:2" x14ac:dyDescent="0.2">
      <c r="A9625" t="str">
        <f>"METTL23"</f>
        <v>METTL23</v>
      </c>
      <c r="B9625" t="s">
        <v>4</v>
      </c>
    </row>
    <row r="9626" spans="1:2" x14ac:dyDescent="0.2">
      <c r="A9626" t="str">
        <f>"METTL24"</f>
        <v>METTL24</v>
      </c>
      <c r="B9626" t="s">
        <v>8</v>
      </c>
    </row>
    <row r="9627" spans="1:2" x14ac:dyDescent="0.2">
      <c r="A9627" t="str">
        <f>"METTL25"</f>
        <v>METTL25</v>
      </c>
      <c r="B9627" t="s">
        <v>5</v>
      </c>
    </row>
    <row r="9628" spans="1:2" x14ac:dyDescent="0.2">
      <c r="A9628" t="str">
        <f>"METTL2A"</f>
        <v>METTL2A</v>
      </c>
      <c r="B9628" t="s">
        <v>4</v>
      </c>
    </row>
    <row r="9629" spans="1:2" x14ac:dyDescent="0.2">
      <c r="A9629" t="str">
        <f>"METTL2B"</f>
        <v>METTL2B</v>
      </c>
      <c r="B9629" t="s">
        <v>5</v>
      </c>
    </row>
    <row r="9630" spans="1:2" x14ac:dyDescent="0.2">
      <c r="A9630" t="str">
        <f>"METTL3"</f>
        <v>METTL3</v>
      </c>
      <c r="B9630" t="s">
        <v>8</v>
      </c>
    </row>
    <row r="9631" spans="1:2" x14ac:dyDescent="0.2">
      <c r="A9631" t="str">
        <f>"METTL4"</f>
        <v>METTL4</v>
      </c>
      <c r="B9631" t="s">
        <v>4</v>
      </c>
    </row>
    <row r="9632" spans="1:2" x14ac:dyDescent="0.2">
      <c r="A9632" t="str">
        <f>"METTL5"</f>
        <v>METTL5</v>
      </c>
      <c r="B9632" t="s">
        <v>4</v>
      </c>
    </row>
    <row r="9633" spans="1:2" x14ac:dyDescent="0.2">
      <c r="A9633" t="str">
        <f>"METTL6"</f>
        <v>METTL6</v>
      </c>
      <c r="B9633" t="s">
        <v>2</v>
      </c>
    </row>
    <row r="9634" spans="1:2" x14ac:dyDescent="0.2">
      <c r="A9634" t="str">
        <f>"METTL7A"</f>
        <v>METTL7A</v>
      </c>
      <c r="B9634" t="s">
        <v>6</v>
      </c>
    </row>
    <row r="9635" spans="1:2" x14ac:dyDescent="0.2">
      <c r="A9635" t="str">
        <f>"METTL7B"</f>
        <v>METTL7B</v>
      </c>
      <c r="B9635" t="s">
        <v>3</v>
      </c>
    </row>
    <row r="9636" spans="1:2" x14ac:dyDescent="0.2">
      <c r="A9636" t="str">
        <f>"METTL8"</f>
        <v>METTL8</v>
      </c>
      <c r="B9636" t="s">
        <v>8</v>
      </c>
    </row>
    <row r="9637" spans="1:2" x14ac:dyDescent="0.2">
      <c r="A9637" t="str">
        <f>"METTL9"</f>
        <v>METTL9</v>
      </c>
      <c r="B9637" t="s">
        <v>4</v>
      </c>
    </row>
    <row r="9638" spans="1:2" x14ac:dyDescent="0.2">
      <c r="A9638" t="str">
        <f>"MEX3A"</f>
        <v>MEX3A</v>
      </c>
      <c r="B9638" t="s">
        <v>2</v>
      </c>
    </row>
    <row r="9639" spans="1:2" x14ac:dyDescent="0.2">
      <c r="A9639" t="str">
        <f>"MEX3B"</f>
        <v>MEX3B</v>
      </c>
      <c r="B9639" t="s">
        <v>2</v>
      </c>
    </row>
    <row r="9640" spans="1:2" x14ac:dyDescent="0.2">
      <c r="A9640" t="str">
        <f>"MEX3C"</f>
        <v>MEX3C</v>
      </c>
      <c r="B9640" t="s">
        <v>2</v>
      </c>
    </row>
    <row r="9641" spans="1:2" x14ac:dyDescent="0.2">
      <c r="A9641" t="str">
        <f>"MEX3D"</f>
        <v>MEX3D</v>
      </c>
      <c r="B9641" t="s">
        <v>2</v>
      </c>
    </row>
    <row r="9642" spans="1:2" x14ac:dyDescent="0.2">
      <c r="A9642" t="str">
        <f>"MFAP1"</f>
        <v>MFAP1</v>
      </c>
      <c r="B9642" t="s">
        <v>4</v>
      </c>
    </row>
    <row r="9643" spans="1:2" x14ac:dyDescent="0.2">
      <c r="A9643" t="str">
        <f>"MFAP2"</f>
        <v>MFAP2</v>
      </c>
      <c r="B9643" t="s">
        <v>4</v>
      </c>
    </row>
    <row r="9644" spans="1:2" x14ac:dyDescent="0.2">
      <c r="A9644" t="str">
        <f>"MFAP3"</f>
        <v>MFAP3</v>
      </c>
      <c r="B9644" t="s">
        <v>5</v>
      </c>
    </row>
    <row r="9645" spans="1:2" x14ac:dyDescent="0.2">
      <c r="A9645" t="str">
        <f>"MFAP3L"</f>
        <v>MFAP3L</v>
      </c>
      <c r="B9645" t="s">
        <v>5</v>
      </c>
    </row>
    <row r="9646" spans="1:2" x14ac:dyDescent="0.2">
      <c r="A9646" t="str">
        <f>"MFAP4"</f>
        <v>MFAP4</v>
      </c>
      <c r="B9646" t="s">
        <v>4</v>
      </c>
    </row>
    <row r="9647" spans="1:2" x14ac:dyDescent="0.2">
      <c r="A9647" t="str">
        <f>"MFAP5"</f>
        <v>MFAP5</v>
      </c>
      <c r="B9647" t="s">
        <v>4</v>
      </c>
    </row>
    <row r="9648" spans="1:2" x14ac:dyDescent="0.2">
      <c r="A9648" t="str">
        <f>"MFF"</f>
        <v>MFF</v>
      </c>
      <c r="B9648" t="s">
        <v>6</v>
      </c>
    </row>
    <row r="9649" spans="1:2" x14ac:dyDescent="0.2">
      <c r="A9649" t="str">
        <f>"MFGE8"</f>
        <v>MFGE8</v>
      </c>
      <c r="B9649" t="s">
        <v>2</v>
      </c>
    </row>
    <row r="9650" spans="1:2" x14ac:dyDescent="0.2">
      <c r="A9650" t="str">
        <f>"MFHAS1"</f>
        <v>MFHAS1</v>
      </c>
      <c r="B9650" t="s">
        <v>4</v>
      </c>
    </row>
    <row r="9651" spans="1:2" x14ac:dyDescent="0.2">
      <c r="A9651" t="str">
        <f>"MFI2"</f>
        <v>MFI2</v>
      </c>
      <c r="B9651" t="s">
        <v>4</v>
      </c>
    </row>
    <row r="9652" spans="1:2" x14ac:dyDescent="0.2">
      <c r="A9652" t="str">
        <f>"MFN1"</f>
        <v>MFN1</v>
      </c>
      <c r="B9652" t="s">
        <v>6</v>
      </c>
    </row>
    <row r="9653" spans="1:2" x14ac:dyDescent="0.2">
      <c r="A9653" t="str">
        <f>"MFN2"</f>
        <v>MFN2</v>
      </c>
      <c r="B9653" t="s">
        <v>3</v>
      </c>
    </row>
    <row r="9654" spans="1:2" x14ac:dyDescent="0.2">
      <c r="A9654" t="str">
        <f>"MFNG"</f>
        <v>MFNG</v>
      </c>
      <c r="B9654" t="s">
        <v>3</v>
      </c>
    </row>
    <row r="9655" spans="1:2" x14ac:dyDescent="0.2">
      <c r="A9655" t="str">
        <f>"MFRP"</f>
        <v>MFRP</v>
      </c>
      <c r="B9655" t="s">
        <v>5</v>
      </c>
    </row>
    <row r="9656" spans="1:2" x14ac:dyDescent="0.2">
      <c r="A9656" t="str">
        <f>"MFSD1"</f>
        <v>MFSD1</v>
      </c>
      <c r="B9656" t="s">
        <v>5</v>
      </c>
    </row>
    <row r="9657" spans="1:2" x14ac:dyDescent="0.2">
      <c r="A9657" t="str">
        <f>"MFSD10"</f>
        <v>MFSD10</v>
      </c>
      <c r="B9657" t="s">
        <v>5</v>
      </c>
    </row>
    <row r="9658" spans="1:2" x14ac:dyDescent="0.2">
      <c r="A9658" t="str">
        <f>"MFSD11"</f>
        <v>MFSD11</v>
      </c>
      <c r="B9658" t="s">
        <v>2</v>
      </c>
    </row>
    <row r="9659" spans="1:2" x14ac:dyDescent="0.2">
      <c r="A9659" t="str">
        <f>"MFSD12"</f>
        <v>MFSD12</v>
      </c>
      <c r="B9659" t="s">
        <v>5</v>
      </c>
    </row>
    <row r="9660" spans="1:2" x14ac:dyDescent="0.2">
      <c r="A9660" t="str">
        <f>"MFSD2A"</f>
        <v>MFSD2A</v>
      </c>
      <c r="B9660" t="s">
        <v>5</v>
      </c>
    </row>
    <row r="9661" spans="1:2" x14ac:dyDescent="0.2">
      <c r="A9661" t="str">
        <f>"MFSD2B"</f>
        <v>MFSD2B</v>
      </c>
      <c r="B9661" t="s">
        <v>5</v>
      </c>
    </row>
    <row r="9662" spans="1:2" x14ac:dyDescent="0.2">
      <c r="A9662" t="str">
        <f>"MFSD3"</f>
        <v>MFSD3</v>
      </c>
      <c r="B9662" t="s">
        <v>5</v>
      </c>
    </row>
    <row r="9663" spans="1:2" x14ac:dyDescent="0.2">
      <c r="A9663" t="str">
        <f>"MFSD4"</f>
        <v>MFSD4</v>
      </c>
      <c r="B9663" t="s">
        <v>5</v>
      </c>
    </row>
    <row r="9664" spans="1:2" x14ac:dyDescent="0.2">
      <c r="A9664" t="str">
        <f>"MFSD5"</f>
        <v>MFSD5</v>
      </c>
      <c r="B9664" t="s">
        <v>6</v>
      </c>
    </row>
    <row r="9665" spans="1:2" x14ac:dyDescent="0.2">
      <c r="A9665" t="str">
        <f>"MFSD6"</f>
        <v>MFSD6</v>
      </c>
      <c r="B9665" t="s">
        <v>5</v>
      </c>
    </row>
    <row r="9666" spans="1:2" x14ac:dyDescent="0.2">
      <c r="A9666" t="str">
        <f>"MFSD6L"</f>
        <v>MFSD6L</v>
      </c>
      <c r="B9666" t="s">
        <v>5</v>
      </c>
    </row>
    <row r="9667" spans="1:2" x14ac:dyDescent="0.2">
      <c r="A9667" t="str">
        <f>"MFSD7"</f>
        <v>MFSD7</v>
      </c>
      <c r="B9667" t="s">
        <v>2</v>
      </c>
    </row>
    <row r="9668" spans="1:2" x14ac:dyDescent="0.2">
      <c r="A9668" t="str">
        <f>"MFSD8"</f>
        <v>MFSD8</v>
      </c>
      <c r="B9668" t="s">
        <v>2</v>
      </c>
    </row>
    <row r="9669" spans="1:2" x14ac:dyDescent="0.2">
      <c r="A9669" t="str">
        <f>"MFSD9"</f>
        <v>MFSD9</v>
      </c>
      <c r="B9669" t="s">
        <v>5</v>
      </c>
    </row>
    <row r="9670" spans="1:2" x14ac:dyDescent="0.2">
      <c r="A9670" t="str">
        <f>"MGA"</f>
        <v>MGA</v>
      </c>
      <c r="B9670" t="s">
        <v>3</v>
      </c>
    </row>
    <row r="9671" spans="1:2" x14ac:dyDescent="0.2">
      <c r="A9671" t="str">
        <f>"MGAM"</f>
        <v>MGAM</v>
      </c>
      <c r="B9671" t="s">
        <v>7</v>
      </c>
    </row>
    <row r="9672" spans="1:2" x14ac:dyDescent="0.2">
      <c r="A9672" t="str">
        <f>"MGARP"</f>
        <v>MGARP</v>
      </c>
      <c r="B9672" t="s">
        <v>6</v>
      </c>
    </row>
    <row r="9673" spans="1:2" x14ac:dyDescent="0.2">
      <c r="A9673" t="str">
        <f>"MGAT1"</f>
        <v>MGAT1</v>
      </c>
      <c r="B9673" t="s">
        <v>7</v>
      </c>
    </row>
    <row r="9674" spans="1:2" x14ac:dyDescent="0.2">
      <c r="A9674" t="str">
        <f>"MGAT2"</f>
        <v>MGAT2</v>
      </c>
      <c r="B9674" t="s">
        <v>2</v>
      </c>
    </row>
    <row r="9675" spans="1:2" x14ac:dyDescent="0.2">
      <c r="A9675" t="str">
        <f>"MGAT3"</f>
        <v>MGAT3</v>
      </c>
      <c r="B9675" t="s">
        <v>5</v>
      </c>
    </row>
    <row r="9676" spans="1:2" x14ac:dyDescent="0.2">
      <c r="A9676" t="str">
        <f>"MGAT4A"</f>
        <v>MGAT4A</v>
      </c>
      <c r="B9676" t="s">
        <v>3</v>
      </c>
    </row>
    <row r="9677" spans="1:2" x14ac:dyDescent="0.2">
      <c r="A9677" t="str">
        <f>"MGAT4B"</f>
        <v>MGAT4B</v>
      </c>
      <c r="B9677" t="s">
        <v>2</v>
      </c>
    </row>
    <row r="9678" spans="1:2" x14ac:dyDescent="0.2">
      <c r="A9678" t="str">
        <f>"MGAT4C"</f>
        <v>MGAT4C</v>
      </c>
      <c r="B9678" t="s">
        <v>5</v>
      </c>
    </row>
    <row r="9679" spans="1:2" x14ac:dyDescent="0.2">
      <c r="A9679" t="str">
        <f>"MGAT5"</f>
        <v>MGAT5</v>
      </c>
      <c r="B9679" t="s">
        <v>5</v>
      </c>
    </row>
    <row r="9680" spans="1:2" x14ac:dyDescent="0.2">
      <c r="A9680" t="str">
        <f>"MGAT5B"</f>
        <v>MGAT5B</v>
      </c>
      <c r="B9680" t="s">
        <v>5</v>
      </c>
    </row>
    <row r="9681" spans="1:2" x14ac:dyDescent="0.2">
      <c r="A9681" t="str">
        <f>"MGEA5"</f>
        <v>MGEA5</v>
      </c>
      <c r="B9681" t="s">
        <v>3</v>
      </c>
    </row>
    <row r="9682" spans="1:2" x14ac:dyDescent="0.2">
      <c r="A9682" t="str">
        <f>"MGLL"</f>
        <v>MGLL</v>
      </c>
      <c r="B9682" t="s">
        <v>2</v>
      </c>
    </row>
    <row r="9683" spans="1:2" x14ac:dyDescent="0.2">
      <c r="A9683" t="str">
        <f>"MGME1"</f>
        <v>MGME1</v>
      </c>
      <c r="B9683" t="s">
        <v>6</v>
      </c>
    </row>
    <row r="9684" spans="1:2" x14ac:dyDescent="0.2">
      <c r="A9684" t="str">
        <f>"MGMT"</f>
        <v>MGMT</v>
      </c>
      <c r="B9684" t="s">
        <v>3</v>
      </c>
    </row>
    <row r="9685" spans="1:2" x14ac:dyDescent="0.2">
      <c r="A9685" t="str">
        <f>"MGP"</f>
        <v>MGP</v>
      </c>
      <c r="B9685" t="s">
        <v>2</v>
      </c>
    </row>
    <row r="9686" spans="1:2" x14ac:dyDescent="0.2">
      <c r="A9686" t="str">
        <f>"MGRN1"</f>
        <v>MGRN1</v>
      </c>
      <c r="B9686" t="s">
        <v>2</v>
      </c>
    </row>
    <row r="9687" spans="1:2" x14ac:dyDescent="0.2">
      <c r="A9687" t="str">
        <f>"MGST1"</f>
        <v>MGST1</v>
      </c>
      <c r="B9687" t="s">
        <v>7</v>
      </c>
    </row>
    <row r="9688" spans="1:2" x14ac:dyDescent="0.2">
      <c r="A9688" t="str">
        <f>"MGST2"</f>
        <v>MGST2</v>
      </c>
      <c r="B9688" t="s">
        <v>7</v>
      </c>
    </row>
    <row r="9689" spans="1:2" x14ac:dyDescent="0.2">
      <c r="A9689" t="str">
        <f>"MGST3"</f>
        <v>MGST3</v>
      </c>
      <c r="B9689" t="s">
        <v>7</v>
      </c>
    </row>
    <row r="9690" spans="1:2" x14ac:dyDescent="0.2">
      <c r="A9690" t="str">
        <f>"MIA"</f>
        <v>MIA</v>
      </c>
      <c r="B9690" t="s">
        <v>4</v>
      </c>
    </row>
    <row r="9691" spans="1:2" x14ac:dyDescent="0.2">
      <c r="A9691" t="str">
        <f>"MIA2"</f>
        <v>MIA2</v>
      </c>
      <c r="B9691" t="s">
        <v>4</v>
      </c>
    </row>
    <row r="9692" spans="1:2" x14ac:dyDescent="0.2">
      <c r="A9692" t="str">
        <f>"MIA3"</f>
        <v>MIA3</v>
      </c>
      <c r="B9692" t="s">
        <v>4</v>
      </c>
    </row>
    <row r="9693" spans="1:2" x14ac:dyDescent="0.2">
      <c r="A9693" t="str">
        <f>"MIB1"</f>
        <v>MIB1</v>
      </c>
      <c r="B9693" t="s">
        <v>2</v>
      </c>
    </row>
    <row r="9694" spans="1:2" x14ac:dyDescent="0.2">
      <c r="A9694" t="str">
        <f>"MIB2"</f>
        <v>MIB2</v>
      </c>
      <c r="B9694" t="s">
        <v>2</v>
      </c>
    </row>
    <row r="9695" spans="1:2" x14ac:dyDescent="0.2">
      <c r="A9695" t="str">
        <f>"MICA"</f>
        <v>MICA</v>
      </c>
      <c r="B9695" t="s">
        <v>4</v>
      </c>
    </row>
    <row r="9696" spans="1:2" x14ac:dyDescent="0.2">
      <c r="A9696" t="str">
        <f>"MICAL1"</f>
        <v>MICAL1</v>
      </c>
      <c r="B9696" t="s">
        <v>6</v>
      </c>
    </row>
    <row r="9697" spans="1:2" x14ac:dyDescent="0.2">
      <c r="A9697" t="str">
        <f>"MICAL2"</f>
        <v>MICAL2</v>
      </c>
      <c r="B9697" t="s">
        <v>6</v>
      </c>
    </row>
    <row r="9698" spans="1:2" x14ac:dyDescent="0.2">
      <c r="A9698" t="str">
        <f>"MICAL3"</f>
        <v>MICAL3</v>
      </c>
      <c r="B9698" t="s">
        <v>6</v>
      </c>
    </row>
    <row r="9699" spans="1:2" x14ac:dyDescent="0.2">
      <c r="A9699" t="str">
        <f>"MICALCL"</f>
        <v>MICALCL</v>
      </c>
      <c r="B9699" t="s">
        <v>4</v>
      </c>
    </row>
    <row r="9700" spans="1:2" x14ac:dyDescent="0.2">
      <c r="A9700" t="str">
        <f>"MICALL1"</f>
        <v>MICALL1</v>
      </c>
      <c r="B9700" t="s">
        <v>6</v>
      </c>
    </row>
    <row r="9701" spans="1:2" x14ac:dyDescent="0.2">
      <c r="A9701" t="str">
        <f>"MICALL2"</f>
        <v>MICALL2</v>
      </c>
      <c r="B9701" t="s">
        <v>6</v>
      </c>
    </row>
    <row r="9702" spans="1:2" x14ac:dyDescent="0.2">
      <c r="A9702" t="str">
        <f>"MICB"</f>
        <v>MICB</v>
      </c>
      <c r="B9702" t="s">
        <v>4</v>
      </c>
    </row>
    <row r="9703" spans="1:2" x14ac:dyDescent="0.2">
      <c r="A9703" t="str">
        <f>"MICU1"</f>
        <v>MICU1</v>
      </c>
      <c r="B9703" t="s">
        <v>6</v>
      </c>
    </row>
    <row r="9704" spans="1:2" x14ac:dyDescent="0.2">
      <c r="A9704" t="str">
        <f>"MICU2"</f>
        <v>MICU2</v>
      </c>
      <c r="B9704" t="s">
        <v>6</v>
      </c>
    </row>
    <row r="9705" spans="1:2" x14ac:dyDescent="0.2">
      <c r="A9705" t="str">
        <f>"MICU3"</f>
        <v>MICU3</v>
      </c>
      <c r="B9705" t="s">
        <v>3</v>
      </c>
    </row>
    <row r="9706" spans="1:2" x14ac:dyDescent="0.2">
      <c r="A9706" t="str">
        <f>"MID1"</f>
        <v>MID1</v>
      </c>
      <c r="B9706" t="s">
        <v>2</v>
      </c>
    </row>
    <row r="9707" spans="1:2" x14ac:dyDescent="0.2">
      <c r="A9707" t="str">
        <f>"MID1IP1"</f>
        <v>MID1IP1</v>
      </c>
      <c r="B9707" t="s">
        <v>6</v>
      </c>
    </row>
    <row r="9708" spans="1:2" x14ac:dyDescent="0.2">
      <c r="A9708" t="str">
        <f>"MID2"</f>
        <v>MID2</v>
      </c>
      <c r="B9708" t="s">
        <v>2</v>
      </c>
    </row>
    <row r="9709" spans="1:2" x14ac:dyDescent="0.2">
      <c r="A9709" t="str">
        <f>"MIDN"</f>
        <v>MIDN</v>
      </c>
      <c r="B9709" t="s">
        <v>2</v>
      </c>
    </row>
    <row r="9710" spans="1:2" x14ac:dyDescent="0.2">
      <c r="A9710" t="str">
        <f>"MIEF1"</f>
        <v>MIEF1</v>
      </c>
      <c r="B9710" t="s">
        <v>6</v>
      </c>
    </row>
    <row r="9711" spans="1:2" x14ac:dyDescent="0.2">
      <c r="A9711" t="str">
        <f>"MIEF2"</f>
        <v>MIEF2</v>
      </c>
      <c r="B9711" t="s">
        <v>6</v>
      </c>
    </row>
    <row r="9712" spans="1:2" x14ac:dyDescent="0.2">
      <c r="A9712" t="str">
        <f>"MIEN1"</f>
        <v>MIEN1</v>
      </c>
      <c r="B9712" t="s">
        <v>4</v>
      </c>
    </row>
    <row r="9713" spans="1:2" x14ac:dyDescent="0.2">
      <c r="A9713" t="str">
        <f>"MIER1"</f>
        <v>MIER1</v>
      </c>
      <c r="B9713" t="s">
        <v>8</v>
      </c>
    </row>
    <row r="9714" spans="1:2" x14ac:dyDescent="0.2">
      <c r="A9714" t="str">
        <f>"MIER2"</f>
        <v>MIER2</v>
      </c>
      <c r="B9714" t="s">
        <v>8</v>
      </c>
    </row>
    <row r="9715" spans="1:2" x14ac:dyDescent="0.2">
      <c r="A9715" t="str">
        <f>"MIER3"</f>
        <v>MIER3</v>
      </c>
      <c r="B9715" t="s">
        <v>8</v>
      </c>
    </row>
    <row r="9716" spans="1:2" x14ac:dyDescent="0.2">
      <c r="A9716" t="str">
        <f>"MIF"</f>
        <v>MIF</v>
      </c>
      <c r="B9716" t="s">
        <v>3</v>
      </c>
    </row>
    <row r="9717" spans="1:2" x14ac:dyDescent="0.2">
      <c r="A9717" t="str">
        <f>"MIF4GD"</f>
        <v>MIF4GD</v>
      </c>
      <c r="B9717" t="s">
        <v>8</v>
      </c>
    </row>
    <row r="9718" spans="1:2" x14ac:dyDescent="0.2">
      <c r="A9718" t="str">
        <f>"MIIP"</f>
        <v>MIIP</v>
      </c>
      <c r="B9718" t="s">
        <v>4</v>
      </c>
    </row>
    <row r="9719" spans="1:2" x14ac:dyDescent="0.2">
      <c r="A9719" t="str">
        <f>"MILR1"</f>
        <v>MILR1</v>
      </c>
      <c r="B9719" t="s">
        <v>5</v>
      </c>
    </row>
    <row r="9720" spans="1:2" x14ac:dyDescent="0.2">
      <c r="A9720" t="str">
        <f>"MINA"</f>
        <v>MINA</v>
      </c>
      <c r="B9720" t="s">
        <v>8</v>
      </c>
    </row>
    <row r="9721" spans="1:2" x14ac:dyDescent="0.2">
      <c r="A9721" t="str">
        <f>"MINK1"</f>
        <v>MINK1</v>
      </c>
      <c r="B9721" t="s">
        <v>7</v>
      </c>
    </row>
    <row r="9722" spans="1:2" x14ac:dyDescent="0.2">
      <c r="A9722" t="str">
        <f>"MINOS1"</f>
        <v>MINOS1</v>
      </c>
      <c r="B9722" t="s">
        <v>6</v>
      </c>
    </row>
    <row r="9723" spans="1:2" x14ac:dyDescent="0.2">
      <c r="A9723" t="str">
        <f>"MINOS1-NBL1"</f>
        <v>MINOS1-NBL1</v>
      </c>
      <c r="B9723" t="s">
        <v>4</v>
      </c>
    </row>
    <row r="9724" spans="1:2" x14ac:dyDescent="0.2">
      <c r="A9724" t="str">
        <f>"MINPP1"</f>
        <v>MINPP1</v>
      </c>
      <c r="B9724" t="s">
        <v>7</v>
      </c>
    </row>
    <row r="9725" spans="1:2" x14ac:dyDescent="0.2">
      <c r="A9725" t="str">
        <f>"MIOS"</f>
        <v>MIOS</v>
      </c>
      <c r="B9725" t="s">
        <v>2</v>
      </c>
    </row>
    <row r="9726" spans="1:2" x14ac:dyDescent="0.2">
      <c r="A9726" t="str">
        <f>"MIOX"</f>
        <v>MIOX</v>
      </c>
      <c r="B9726" t="s">
        <v>3</v>
      </c>
    </row>
    <row r="9727" spans="1:2" x14ac:dyDescent="0.2">
      <c r="A9727" t="str">
        <f>"MIP"</f>
        <v>MIP</v>
      </c>
      <c r="B9727" t="s">
        <v>5</v>
      </c>
    </row>
    <row r="9728" spans="1:2" x14ac:dyDescent="0.2">
      <c r="A9728" t="str">
        <f>"MIPEP"</f>
        <v>MIPEP</v>
      </c>
      <c r="B9728" t="s">
        <v>2</v>
      </c>
    </row>
    <row r="9729" spans="1:2" x14ac:dyDescent="0.2">
      <c r="A9729" t="str">
        <f>"MIPOL1"</f>
        <v>MIPOL1</v>
      </c>
      <c r="B9729" t="s">
        <v>4</v>
      </c>
    </row>
    <row r="9730" spans="1:2" x14ac:dyDescent="0.2">
      <c r="A9730" t="str">
        <f>"MIR205HG"</f>
        <v>MIR205HG</v>
      </c>
      <c r="B9730" t="s">
        <v>4</v>
      </c>
    </row>
    <row r="9731" spans="1:2" x14ac:dyDescent="0.2">
      <c r="A9731" t="str">
        <f>"MIS12"</f>
        <v>MIS12</v>
      </c>
      <c r="B9731" t="s">
        <v>3</v>
      </c>
    </row>
    <row r="9732" spans="1:2" x14ac:dyDescent="0.2">
      <c r="A9732" t="str">
        <f>"MIS18A"</f>
        <v>MIS18A</v>
      </c>
      <c r="B9732" t="s">
        <v>4</v>
      </c>
    </row>
    <row r="9733" spans="1:2" x14ac:dyDescent="0.2">
      <c r="A9733" t="str">
        <f>"MIS18BP1"</f>
        <v>MIS18BP1</v>
      </c>
      <c r="B9733" t="s">
        <v>8</v>
      </c>
    </row>
    <row r="9734" spans="1:2" x14ac:dyDescent="0.2">
      <c r="A9734" t="str">
        <f>"MISP"</f>
        <v>MISP</v>
      </c>
      <c r="B9734" t="s">
        <v>4</v>
      </c>
    </row>
    <row r="9735" spans="1:2" x14ac:dyDescent="0.2">
      <c r="A9735" t="str">
        <f>"MITD1"</f>
        <v>MITD1</v>
      </c>
      <c r="B9735" t="s">
        <v>2</v>
      </c>
    </row>
    <row r="9736" spans="1:2" x14ac:dyDescent="0.2">
      <c r="A9736" t="str">
        <f>"MITF"</f>
        <v>MITF</v>
      </c>
      <c r="B9736" t="s">
        <v>3</v>
      </c>
    </row>
    <row r="9737" spans="1:2" x14ac:dyDescent="0.2">
      <c r="A9737" t="str">
        <f>"MIXL1"</f>
        <v>MIXL1</v>
      </c>
      <c r="B9737" t="s">
        <v>8</v>
      </c>
    </row>
    <row r="9738" spans="1:2" x14ac:dyDescent="0.2">
      <c r="A9738" t="str">
        <f>"MKI67"</f>
        <v>MKI67</v>
      </c>
      <c r="B9738" t="s">
        <v>3</v>
      </c>
    </row>
    <row r="9739" spans="1:2" x14ac:dyDescent="0.2">
      <c r="A9739" t="str">
        <f>"MKI67IP"</f>
        <v>MKI67IP</v>
      </c>
      <c r="B9739" t="s">
        <v>8</v>
      </c>
    </row>
    <row r="9740" spans="1:2" x14ac:dyDescent="0.2">
      <c r="A9740" t="str">
        <f>"MKKS"</f>
        <v>MKKS</v>
      </c>
      <c r="B9740" t="s">
        <v>2</v>
      </c>
    </row>
    <row r="9741" spans="1:2" x14ac:dyDescent="0.2">
      <c r="A9741" t="str">
        <f>"MKL1"</f>
        <v>MKL1</v>
      </c>
      <c r="B9741" t="s">
        <v>3</v>
      </c>
    </row>
    <row r="9742" spans="1:2" x14ac:dyDescent="0.2">
      <c r="A9742" t="str">
        <f>"MKL2"</f>
        <v>MKL2</v>
      </c>
      <c r="B9742" t="s">
        <v>8</v>
      </c>
    </row>
    <row r="9743" spans="1:2" x14ac:dyDescent="0.2">
      <c r="A9743" t="str">
        <f>"MKLN1"</f>
        <v>MKLN1</v>
      </c>
      <c r="B9743" t="s">
        <v>4</v>
      </c>
    </row>
    <row r="9744" spans="1:2" x14ac:dyDescent="0.2">
      <c r="A9744" t="str">
        <f>"MKNK1"</f>
        <v>MKNK1</v>
      </c>
      <c r="B9744" t="s">
        <v>7</v>
      </c>
    </row>
    <row r="9745" spans="1:2" x14ac:dyDescent="0.2">
      <c r="A9745" t="str">
        <f>"MKNK2"</f>
        <v>MKNK2</v>
      </c>
      <c r="B9745" t="s">
        <v>7</v>
      </c>
    </row>
    <row r="9746" spans="1:2" x14ac:dyDescent="0.2">
      <c r="A9746" t="str">
        <f>"MKRN1"</f>
        <v>MKRN1</v>
      </c>
      <c r="B9746" t="s">
        <v>2</v>
      </c>
    </row>
    <row r="9747" spans="1:2" x14ac:dyDescent="0.2">
      <c r="A9747" t="str">
        <f>"MKRN2"</f>
        <v>MKRN2</v>
      </c>
      <c r="B9747" t="s">
        <v>2</v>
      </c>
    </row>
    <row r="9748" spans="1:2" x14ac:dyDescent="0.2">
      <c r="A9748" t="str">
        <f>"MKRN3"</f>
        <v>MKRN3</v>
      </c>
      <c r="B9748" t="s">
        <v>2</v>
      </c>
    </row>
    <row r="9749" spans="1:2" x14ac:dyDescent="0.2">
      <c r="A9749" t="str">
        <f>"MKS1"</f>
        <v>MKS1</v>
      </c>
      <c r="B9749" t="s">
        <v>4</v>
      </c>
    </row>
    <row r="9750" spans="1:2" x14ac:dyDescent="0.2">
      <c r="A9750" t="str">
        <f>"MKX"</f>
        <v>MKX</v>
      </c>
      <c r="B9750" t="s">
        <v>8</v>
      </c>
    </row>
    <row r="9751" spans="1:2" x14ac:dyDescent="0.2">
      <c r="A9751" t="str">
        <f>"MLANA"</f>
        <v>MLANA</v>
      </c>
      <c r="B9751" t="s">
        <v>5</v>
      </c>
    </row>
    <row r="9752" spans="1:2" x14ac:dyDescent="0.2">
      <c r="A9752" t="str">
        <f>"MLC1"</f>
        <v>MLC1</v>
      </c>
      <c r="B9752" t="s">
        <v>6</v>
      </c>
    </row>
    <row r="9753" spans="1:2" x14ac:dyDescent="0.2">
      <c r="A9753" t="str">
        <f>"MLEC"</f>
        <v>MLEC</v>
      </c>
      <c r="B9753" t="s">
        <v>2</v>
      </c>
    </row>
    <row r="9754" spans="1:2" x14ac:dyDescent="0.2">
      <c r="A9754" t="str">
        <f>"MLF1"</f>
        <v>MLF1</v>
      </c>
      <c r="B9754" t="s">
        <v>3</v>
      </c>
    </row>
    <row r="9755" spans="1:2" x14ac:dyDescent="0.2">
      <c r="A9755" t="str">
        <f>"MLF1IP"</f>
        <v>MLF1IP</v>
      </c>
      <c r="B9755" t="s">
        <v>3</v>
      </c>
    </row>
    <row r="9756" spans="1:2" x14ac:dyDescent="0.2">
      <c r="A9756" t="str">
        <f>"MLF2"</f>
        <v>MLF2</v>
      </c>
      <c r="B9756" t="s">
        <v>4</v>
      </c>
    </row>
    <row r="9757" spans="1:2" x14ac:dyDescent="0.2">
      <c r="A9757" t="str">
        <f>"MLH1"</f>
        <v>MLH1</v>
      </c>
      <c r="B9757" t="s">
        <v>3</v>
      </c>
    </row>
    <row r="9758" spans="1:2" x14ac:dyDescent="0.2">
      <c r="A9758" t="str">
        <f>"MLH3"</f>
        <v>MLH3</v>
      </c>
      <c r="B9758" t="s">
        <v>3</v>
      </c>
    </row>
    <row r="9759" spans="1:2" x14ac:dyDescent="0.2">
      <c r="A9759" t="str">
        <f>"MLIP"</f>
        <v>MLIP</v>
      </c>
      <c r="B9759" t="s">
        <v>4</v>
      </c>
    </row>
    <row r="9760" spans="1:2" x14ac:dyDescent="0.2">
      <c r="A9760" t="str">
        <f>"MLKL"</f>
        <v>MLKL</v>
      </c>
      <c r="B9760" t="s">
        <v>7</v>
      </c>
    </row>
    <row r="9761" spans="1:2" x14ac:dyDescent="0.2">
      <c r="A9761" t="str">
        <f>"MLLT1"</f>
        <v>MLLT1</v>
      </c>
      <c r="B9761" t="s">
        <v>3</v>
      </c>
    </row>
    <row r="9762" spans="1:2" x14ac:dyDescent="0.2">
      <c r="A9762" t="str">
        <f>"MLLT10"</f>
        <v>MLLT10</v>
      </c>
      <c r="B9762" t="s">
        <v>3</v>
      </c>
    </row>
    <row r="9763" spans="1:2" x14ac:dyDescent="0.2">
      <c r="A9763" t="str">
        <f>"MLLT11"</f>
        <v>MLLT11</v>
      </c>
      <c r="B9763" t="s">
        <v>3</v>
      </c>
    </row>
    <row r="9764" spans="1:2" x14ac:dyDescent="0.2">
      <c r="A9764" t="str">
        <f>"MLLT3"</f>
        <v>MLLT3</v>
      </c>
      <c r="B9764" t="s">
        <v>3</v>
      </c>
    </row>
    <row r="9765" spans="1:2" x14ac:dyDescent="0.2">
      <c r="A9765" t="str">
        <f>"MLLT4"</f>
        <v>MLLT4</v>
      </c>
      <c r="B9765" t="s">
        <v>3</v>
      </c>
    </row>
    <row r="9766" spans="1:2" x14ac:dyDescent="0.2">
      <c r="A9766" t="str">
        <f>"MLLT6"</f>
        <v>MLLT6</v>
      </c>
      <c r="B9766" t="s">
        <v>3</v>
      </c>
    </row>
    <row r="9767" spans="1:2" x14ac:dyDescent="0.2">
      <c r="A9767" t="str">
        <f>"MLN"</f>
        <v>MLN</v>
      </c>
      <c r="B9767" t="s">
        <v>4</v>
      </c>
    </row>
    <row r="9768" spans="1:2" x14ac:dyDescent="0.2">
      <c r="A9768" t="str">
        <f>"MLNR"</f>
        <v>MLNR</v>
      </c>
      <c r="B9768" t="s">
        <v>5</v>
      </c>
    </row>
    <row r="9769" spans="1:2" x14ac:dyDescent="0.2">
      <c r="A9769" t="str">
        <f>"MLPH"</f>
        <v>MLPH</v>
      </c>
      <c r="B9769" t="s">
        <v>6</v>
      </c>
    </row>
    <row r="9770" spans="1:2" x14ac:dyDescent="0.2">
      <c r="A9770" t="str">
        <f>"MLST8"</f>
        <v>MLST8</v>
      </c>
      <c r="B9770" t="s">
        <v>2</v>
      </c>
    </row>
    <row r="9771" spans="1:2" x14ac:dyDescent="0.2">
      <c r="A9771" t="str">
        <f>"MLX"</f>
        <v>MLX</v>
      </c>
      <c r="B9771" t="s">
        <v>2</v>
      </c>
    </row>
    <row r="9772" spans="1:2" x14ac:dyDescent="0.2">
      <c r="A9772" t="str">
        <f>"MLXIP"</f>
        <v>MLXIP</v>
      </c>
      <c r="B9772" t="s">
        <v>6</v>
      </c>
    </row>
    <row r="9773" spans="1:2" x14ac:dyDescent="0.2">
      <c r="A9773" t="str">
        <f>"MLXIPL"</f>
        <v>MLXIPL</v>
      </c>
      <c r="B9773" t="s">
        <v>8</v>
      </c>
    </row>
    <row r="9774" spans="1:2" x14ac:dyDescent="0.2">
      <c r="A9774" t="str">
        <f>"MLYCD"</f>
        <v>MLYCD</v>
      </c>
      <c r="B9774" t="s">
        <v>2</v>
      </c>
    </row>
    <row r="9775" spans="1:2" x14ac:dyDescent="0.2">
      <c r="A9775" t="str">
        <f>"MMAA"</f>
        <v>MMAA</v>
      </c>
      <c r="B9775" t="s">
        <v>7</v>
      </c>
    </row>
    <row r="9776" spans="1:2" x14ac:dyDescent="0.2">
      <c r="A9776" t="str">
        <f>"MMAB"</f>
        <v>MMAB</v>
      </c>
      <c r="B9776" t="s">
        <v>7</v>
      </c>
    </row>
    <row r="9777" spans="1:2" x14ac:dyDescent="0.2">
      <c r="A9777" t="str">
        <f>"MMACHC"</f>
        <v>MMACHC</v>
      </c>
      <c r="B9777" t="s">
        <v>7</v>
      </c>
    </row>
    <row r="9778" spans="1:2" x14ac:dyDescent="0.2">
      <c r="A9778" t="str">
        <f>"MMADHC"</f>
        <v>MMADHC</v>
      </c>
      <c r="B9778" t="s">
        <v>6</v>
      </c>
    </row>
    <row r="9779" spans="1:2" x14ac:dyDescent="0.2">
      <c r="A9779" t="str">
        <f>"MMD"</f>
        <v>MMD</v>
      </c>
      <c r="B9779" t="s">
        <v>2</v>
      </c>
    </row>
    <row r="9780" spans="1:2" x14ac:dyDescent="0.2">
      <c r="A9780" t="str">
        <f>"MMD2"</f>
        <v>MMD2</v>
      </c>
      <c r="B9780" t="s">
        <v>5</v>
      </c>
    </row>
    <row r="9781" spans="1:2" x14ac:dyDescent="0.2">
      <c r="A9781" t="str">
        <f>"MME"</f>
        <v>MME</v>
      </c>
      <c r="B9781" t="s">
        <v>7</v>
      </c>
    </row>
    <row r="9782" spans="1:2" x14ac:dyDescent="0.2">
      <c r="A9782" t="str">
        <f>"MMEL1"</f>
        <v>MMEL1</v>
      </c>
      <c r="B9782" t="s">
        <v>2</v>
      </c>
    </row>
    <row r="9783" spans="1:2" x14ac:dyDescent="0.2">
      <c r="A9783" t="str">
        <f>"MMGT1"</f>
        <v>MMGT1</v>
      </c>
      <c r="B9783" t="s">
        <v>6</v>
      </c>
    </row>
    <row r="9784" spans="1:2" x14ac:dyDescent="0.2">
      <c r="A9784" t="str">
        <f>"MMP1"</f>
        <v>MMP1</v>
      </c>
      <c r="B9784" t="s">
        <v>7</v>
      </c>
    </row>
    <row r="9785" spans="1:2" x14ac:dyDescent="0.2">
      <c r="A9785" t="str">
        <f>"MMP10"</f>
        <v>MMP10</v>
      </c>
      <c r="B9785" t="s">
        <v>7</v>
      </c>
    </row>
    <row r="9786" spans="1:2" x14ac:dyDescent="0.2">
      <c r="A9786" t="str">
        <f>"MMP11"</f>
        <v>MMP11</v>
      </c>
      <c r="B9786" t="s">
        <v>7</v>
      </c>
    </row>
    <row r="9787" spans="1:2" x14ac:dyDescent="0.2">
      <c r="A9787" t="str">
        <f>"MMP12"</f>
        <v>MMP12</v>
      </c>
      <c r="B9787" t="s">
        <v>7</v>
      </c>
    </row>
    <row r="9788" spans="1:2" x14ac:dyDescent="0.2">
      <c r="A9788" t="str">
        <f>"MMP13"</f>
        <v>MMP13</v>
      </c>
      <c r="B9788" t="s">
        <v>7</v>
      </c>
    </row>
    <row r="9789" spans="1:2" x14ac:dyDescent="0.2">
      <c r="A9789" t="str">
        <f>"MMP14"</f>
        <v>MMP14</v>
      </c>
      <c r="B9789" t="s">
        <v>3</v>
      </c>
    </row>
    <row r="9790" spans="1:2" x14ac:dyDescent="0.2">
      <c r="A9790" t="str">
        <f>"MMP15"</f>
        <v>MMP15</v>
      </c>
      <c r="B9790" t="s">
        <v>3</v>
      </c>
    </row>
    <row r="9791" spans="1:2" x14ac:dyDescent="0.2">
      <c r="A9791" t="str">
        <f>"MMP16"</f>
        <v>MMP16</v>
      </c>
      <c r="B9791" t="s">
        <v>7</v>
      </c>
    </row>
    <row r="9792" spans="1:2" x14ac:dyDescent="0.2">
      <c r="A9792" t="str">
        <f>"MMP17"</f>
        <v>MMP17</v>
      </c>
      <c r="B9792" t="s">
        <v>7</v>
      </c>
    </row>
    <row r="9793" spans="1:2" x14ac:dyDescent="0.2">
      <c r="A9793" t="str">
        <f>"MMP19"</f>
        <v>MMP19</v>
      </c>
      <c r="B9793" t="s">
        <v>7</v>
      </c>
    </row>
    <row r="9794" spans="1:2" x14ac:dyDescent="0.2">
      <c r="A9794" t="str">
        <f>"MMP2"</f>
        <v>MMP2</v>
      </c>
      <c r="B9794" t="s">
        <v>3</v>
      </c>
    </row>
    <row r="9795" spans="1:2" x14ac:dyDescent="0.2">
      <c r="A9795" t="str">
        <f>"MMP20"</f>
        <v>MMP20</v>
      </c>
      <c r="B9795" t="s">
        <v>7</v>
      </c>
    </row>
    <row r="9796" spans="1:2" x14ac:dyDescent="0.2">
      <c r="A9796" t="str">
        <f>"MMP21"</f>
        <v>MMP21</v>
      </c>
      <c r="B9796" t="s">
        <v>7</v>
      </c>
    </row>
    <row r="9797" spans="1:2" x14ac:dyDescent="0.2">
      <c r="A9797" t="str">
        <f>"MMP23B"</f>
        <v>MMP23B</v>
      </c>
      <c r="B9797" t="s">
        <v>2</v>
      </c>
    </row>
    <row r="9798" spans="1:2" x14ac:dyDescent="0.2">
      <c r="A9798" t="str">
        <f>"MMP24"</f>
        <v>MMP24</v>
      </c>
      <c r="B9798" t="s">
        <v>7</v>
      </c>
    </row>
    <row r="9799" spans="1:2" x14ac:dyDescent="0.2">
      <c r="A9799" t="str">
        <f>"MMP25"</f>
        <v>MMP25</v>
      </c>
      <c r="B9799" t="s">
        <v>7</v>
      </c>
    </row>
    <row r="9800" spans="1:2" x14ac:dyDescent="0.2">
      <c r="A9800" t="str">
        <f>"MMP26"</f>
        <v>MMP26</v>
      </c>
      <c r="B9800" t="s">
        <v>7</v>
      </c>
    </row>
    <row r="9801" spans="1:2" x14ac:dyDescent="0.2">
      <c r="A9801" t="str">
        <f>"MMP27"</f>
        <v>MMP27</v>
      </c>
      <c r="B9801" t="s">
        <v>7</v>
      </c>
    </row>
    <row r="9802" spans="1:2" x14ac:dyDescent="0.2">
      <c r="A9802" t="str">
        <f>"MMP28"</f>
        <v>MMP28</v>
      </c>
      <c r="B9802" t="s">
        <v>7</v>
      </c>
    </row>
    <row r="9803" spans="1:2" x14ac:dyDescent="0.2">
      <c r="A9803" t="str">
        <f>"MMP3"</f>
        <v>MMP3</v>
      </c>
      <c r="B9803" t="s">
        <v>7</v>
      </c>
    </row>
    <row r="9804" spans="1:2" x14ac:dyDescent="0.2">
      <c r="A9804" t="str">
        <f>"MMP7"</f>
        <v>MMP7</v>
      </c>
      <c r="B9804" t="s">
        <v>7</v>
      </c>
    </row>
    <row r="9805" spans="1:2" x14ac:dyDescent="0.2">
      <c r="A9805" t="str">
        <f>"MMP8"</f>
        <v>MMP8</v>
      </c>
      <c r="B9805" t="s">
        <v>7</v>
      </c>
    </row>
    <row r="9806" spans="1:2" x14ac:dyDescent="0.2">
      <c r="A9806" t="str">
        <f>"MMP9"</f>
        <v>MMP9</v>
      </c>
      <c r="B9806" t="s">
        <v>3</v>
      </c>
    </row>
    <row r="9807" spans="1:2" x14ac:dyDescent="0.2">
      <c r="A9807" t="str">
        <f>"MMRN1"</f>
        <v>MMRN1</v>
      </c>
      <c r="B9807" t="s">
        <v>4</v>
      </c>
    </row>
    <row r="9808" spans="1:2" x14ac:dyDescent="0.2">
      <c r="A9808" t="str">
        <f>"MMRN2"</f>
        <v>MMRN2</v>
      </c>
      <c r="B9808" t="s">
        <v>4</v>
      </c>
    </row>
    <row r="9809" spans="1:2" x14ac:dyDescent="0.2">
      <c r="A9809" t="str">
        <f>"MMS19"</f>
        <v>MMS19</v>
      </c>
      <c r="B9809" t="s">
        <v>3</v>
      </c>
    </row>
    <row r="9810" spans="1:2" x14ac:dyDescent="0.2">
      <c r="A9810" t="str">
        <f>"MMS22L"</f>
        <v>MMS22L</v>
      </c>
      <c r="B9810" t="s">
        <v>4</v>
      </c>
    </row>
    <row r="9811" spans="1:2" x14ac:dyDescent="0.2">
      <c r="A9811" t="str">
        <f>"MN1"</f>
        <v>MN1</v>
      </c>
      <c r="B9811" t="s">
        <v>3</v>
      </c>
    </row>
    <row r="9812" spans="1:2" x14ac:dyDescent="0.2">
      <c r="A9812" t="str">
        <f>"MNAT1"</f>
        <v>MNAT1</v>
      </c>
      <c r="B9812" t="s">
        <v>3</v>
      </c>
    </row>
    <row r="9813" spans="1:2" x14ac:dyDescent="0.2">
      <c r="A9813" t="str">
        <f>"MND1"</f>
        <v>MND1</v>
      </c>
      <c r="B9813" t="s">
        <v>8</v>
      </c>
    </row>
    <row r="9814" spans="1:2" x14ac:dyDescent="0.2">
      <c r="A9814" t="str">
        <f>"MNDA"</f>
        <v>MNDA</v>
      </c>
      <c r="B9814" t="s">
        <v>2</v>
      </c>
    </row>
    <row r="9815" spans="1:2" x14ac:dyDescent="0.2">
      <c r="A9815" t="str">
        <f>"MNS1"</f>
        <v>MNS1</v>
      </c>
      <c r="B9815" t="s">
        <v>4</v>
      </c>
    </row>
    <row r="9816" spans="1:2" x14ac:dyDescent="0.2">
      <c r="A9816" t="str">
        <f>"MNT"</f>
        <v>MNT</v>
      </c>
      <c r="B9816" t="s">
        <v>3</v>
      </c>
    </row>
    <row r="9817" spans="1:2" x14ac:dyDescent="0.2">
      <c r="A9817" t="str">
        <f>"MNX1"</f>
        <v>MNX1</v>
      </c>
      <c r="B9817" t="s">
        <v>3</v>
      </c>
    </row>
    <row r="9818" spans="1:2" x14ac:dyDescent="0.2">
      <c r="A9818" t="str">
        <f>"MOAP1"</f>
        <v>MOAP1</v>
      </c>
      <c r="B9818" t="s">
        <v>3</v>
      </c>
    </row>
    <row r="9819" spans="1:2" x14ac:dyDescent="0.2">
      <c r="A9819" t="str">
        <f>"MOB1A"</f>
        <v>MOB1A</v>
      </c>
      <c r="B9819" t="s">
        <v>3</v>
      </c>
    </row>
    <row r="9820" spans="1:2" x14ac:dyDescent="0.2">
      <c r="A9820" t="str">
        <f>"MOB1B"</f>
        <v>MOB1B</v>
      </c>
      <c r="B9820" t="s">
        <v>3</v>
      </c>
    </row>
    <row r="9821" spans="1:2" x14ac:dyDescent="0.2">
      <c r="A9821" t="str">
        <f>"MOB2"</f>
        <v>MOB2</v>
      </c>
      <c r="B9821" t="s">
        <v>3</v>
      </c>
    </row>
    <row r="9822" spans="1:2" x14ac:dyDescent="0.2">
      <c r="A9822" t="str">
        <f>"MOB3A"</f>
        <v>MOB3A</v>
      </c>
      <c r="B9822" t="s">
        <v>3</v>
      </c>
    </row>
    <row r="9823" spans="1:2" x14ac:dyDescent="0.2">
      <c r="A9823" t="str">
        <f>"MOB3B"</f>
        <v>MOB3B</v>
      </c>
      <c r="B9823" t="s">
        <v>3</v>
      </c>
    </row>
    <row r="9824" spans="1:2" x14ac:dyDescent="0.2">
      <c r="A9824" t="str">
        <f>"MOB3C"</f>
        <v>MOB3C</v>
      </c>
      <c r="B9824" t="s">
        <v>3</v>
      </c>
    </row>
    <row r="9825" spans="1:2" x14ac:dyDescent="0.2">
      <c r="A9825" t="str">
        <f>"MOB4"</f>
        <v>MOB4</v>
      </c>
      <c r="B9825" t="s">
        <v>3</v>
      </c>
    </row>
    <row r="9826" spans="1:2" x14ac:dyDescent="0.2">
      <c r="A9826" t="str">
        <f>"MOBP"</f>
        <v>MOBP</v>
      </c>
      <c r="B9826" t="s">
        <v>6</v>
      </c>
    </row>
    <row r="9827" spans="1:2" x14ac:dyDescent="0.2">
      <c r="A9827" t="str">
        <f>"MOCOS"</f>
        <v>MOCOS</v>
      </c>
      <c r="B9827" t="s">
        <v>7</v>
      </c>
    </row>
    <row r="9828" spans="1:2" x14ac:dyDescent="0.2">
      <c r="A9828" t="str">
        <f>"MOCS1"</f>
        <v>MOCS1</v>
      </c>
      <c r="B9828" t="s">
        <v>2</v>
      </c>
    </row>
    <row r="9829" spans="1:2" x14ac:dyDescent="0.2">
      <c r="A9829" t="str">
        <f>"MOCS2"</f>
        <v>MOCS2</v>
      </c>
      <c r="B9829" t="s">
        <v>4</v>
      </c>
    </row>
    <row r="9830" spans="1:2" x14ac:dyDescent="0.2">
      <c r="A9830" t="str">
        <f>"MOCS3"</f>
        <v>MOCS3</v>
      </c>
      <c r="B9830" t="s">
        <v>4</v>
      </c>
    </row>
    <row r="9831" spans="1:2" x14ac:dyDescent="0.2">
      <c r="A9831" t="str">
        <f>"MOG"</f>
        <v>MOG</v>
      </c>
      <c r="B9831" t="s">
        <v>3</v>
      </c>
    </row>
    <row r="9832" spans="1:2" x14ac:dyDescent="0.2">
      <c r="A9832" t="str">
        <f>"MOGAT1"</f>
        <v>MOGAT1</v>
      </c>
      <c r="B9832" t="s">
        <v>2</v>
      </c>
    </row>
    <row r="9833" spans="1:2" x14ac:dyDescent="0.2">
      <c r="A9833" t="str">
        <f>"MOGAT2"</f>
        <v>MOGAT2</v>
      </c>
      <c r="B9833" t="s">
        <v>6</v>
      </c>
    </row>
    <row r="9834" spans="1:2" x14ac:dyDescent="0.2">
      <c r="A9834" t="str">
        <f>"MOGAT3"</f>
        <v>MOGAT3</v>
      </c>
      <c r="B9834" t="s">
        <v>2</v>
      </c>
    </row>
    <row r="9835" spans="1:2" x14ac:dyDescent="0.2">
      <c r="A9835" t="str">
        <f>"MOGS"</f>
        <v>MOGS</v>
      </c>
      <c r="B9835" t="s">
        <v>2</v>
      </c>
    </row>
    <row r="9836" spans="1:2" x14ac:dyDescent="0.2">
      <c r="A9836" t="str">
        <f>"MOK"</f>
        <v>MOK</v>
      </c>
      <c r="B9836" t="s">
        <v>7</v>
      </c>
    </row>
    <row r="9837" spans="1:2" x14ac:dyDescent="0.2">
      <c r="A9837" t="str">
        <f>"MON1A"</f>
        <v>MON1A</v>
      </c>
      <c r="B9837" t="s">
        <v>2</v>
      </c>
    </row>
    <row r="9838" spans="1:2" x14ac:dyDescent="0.2">
      <c r="A9838" t="str">
        <f>"MON1B"</f>
        <v>MON1B</v>
      </c>
      <c r="B9838" t="s">
        <v>4</v>
      </c>
    </row>
    <row r="9839" spans="1:2" x14ac:dyDescent="0.2">
      <c r="A9839" t="str">
        <f>"MON2"</f>
        <v>MON2</v>
      </c>
      <c r="B9839" t="s">
        <v>2</v>
      </c>
    </row>
    <row r="9840" spans="1:2" x14ac:dyDescent="0.2">
      <c r="A9840" t="str">
        <f>"MORC1"</f>
        <v>MORC1</v>
      </c>
      <c r="B9840" t="s">
        <v>4</v>
      </c>
    </row>
    <row r="9841" spans="1:2" x14ac:dyDescent="0.2">
      <c r="A9841" t="str">
        <f>"MORC2"</f>
        <v>MORC2</v>
      </c>
      <c r="B9841" t="s">
        <v>4</v>
      </c>
    </row>
    <row r="9842" spans="1:2" x14ac:dyDescent="0.2">
      <c r="A9842" t="str">
        <f>"MORC3"</f>
        <v>MORC3</v>
      </c>
      <c r="B9842" t="s">
        <v>4</v>
      </c>
    </row>
    <row r="9843" spans="1:2" x14ac:dyDescent="0.2">
      <c r="A9843" t="str">
        <f>"MORC4"</f>
        <v>MORC4</v>
      </c>
      <c r="B9843" t="s">
        <v>4</v>
      </c>
    </row>
    <row r="9844" spans="1:2" x14ac:dyDescent="0.2">
      <c r="A9844" t="str">
        <f>"MORF4L1"</f>
        <v>MORF4L1</v>
      </c>
      <c r="B9844" t="s">
        <v>2</v>
      </c>
    </row>
    <row r="9845" spans="1:2" x14ac:dyDescent="0.2">
      <c r="A9845" t="str">
        <f>"MORF4L2"</f>
        <v>MORF4L2</v>
      </c>
      <c r="B9845" t="s">
        <v>2</v>
      </c>
    </row>
    <row r="9846" spans="1:2" x14ac:dyDescent="0.2">
      <c r="A9846" t="str">
        <f>"MORN1"</f>
        <v>MORN1</v>
      </c>
      <c r="B9846" t="s">
        <v>4</v>
      </c>
    </row>
    <row r="9847" spans="1:2" x14ac:dyDescent="0.2">
      <c r="A9847" t="str">
        <f>"MORN2"</f>
        <v>MORN2</v>
      </c>
      <c r="B9847" t="s">
        <v>4</v>
      </c>
    </row>
    <row r="9848" spans="1:2" x14ac:dyDescent="0.2">
      <c r="A9848" t="str">
        <f>"MORN3"</f>
        <v>MORN3</v>
      </c>
      <c r="B9848" t="s">
        <v>4</v>
      </c>
    </row>
    <row r="9849" spans="1:2" x14ac:dyDescent="0.2">
      <c r="A9849" t="str">
        <f>"MORN4"</f>
        <v>MORN4</v>
      </c>
      <c r="B9849" t="s">
        <v>4</v>
      </c>
    </row>
    <row r="9850" spans="1:2" x14ac:dyDescent="0.2">
      <c r="A9850" t="str">
        <f>"MORN5"</f>
        <v>MORN5</v>
      </c>
      <c r="B9850" t="s">
        <v>4</v>
      </c>
    </row>
    <row r="9851" spans="1:2" x14ac:dyDescent="0.2">
      <c r="A9851" t="str">
        <f>"MOS"</f>
        <v>MOS</v>
      </c>
      <c r="B9851" t="s">
        <v>7</v>
      </c>
    </row>
    <row r="9852" spans="1:2" x14ac:dyDescent="0.2">
      <c r="A9852" t="str">
        <f>"MOSPD1"</f>
        <v>MOSPD1</v>
      </c>
      <c r="B9852" t="s">
        <v>5</v>
      </c>
    </row>
    <row r="9853" spans="1:2" x14ac:dyDescent="0.2">
      <c r="A9853" t="str">
        <f>"MOSPD2"</f>
        <v>MOSPD2</v>
      </c>
      <c r="B9853" t="s">
        <v>2</v>
      </c>
    </row>
    <row r="9854" spans="1:2" x14ac:dyDescent="0.2">
      <c r="A9854" t="str">
        <f>"MOSPD3"</f>
        <v>MOSPD3</v>
      </c>
      <c r="B9854" t="s">
        <v>5</v>
      </c>
    </row>
    <row r="9855" spans="1:2" x14ac:dyDescent="0.2">
      <c r="A9855" t="str">
        <f>"MOV10"</f>
        <v>MOV10</v>
      </c>
      <c r="B9855" t="s">
        <v>4</v>
      </c>
    </row>
    <row r="9856" spans="1:2" x14ac:dyDescent="0.2">
      <c r="A9856" t="str">
        <f>"MOV10L1"</f>
        <v>MOV10L1</v>
      </c>
      <c r="B9856" t="s">
        <v>3</v>
      </c>
    </row>
    <row r="9857" spans="1:2" x14ac:dyDescent="0.2">
      <c r="A9857" t="str">
        <f>"MOXD1"</f>
        <v>MOXD1</v>
      </c>
      <c r="B9857" t="s">
        <v>2</v>
      </c>
    </row>
    <row r="9858" spans="1:2" x14ac:dyDescent="0.2">
      <c r="A9858" t="str">
        <f>"MPC1"</f>
        <v>MPC1</v>
      </c>
      <c r="B9858" t="s">
        <v>6</v>
      </c>
    </row>
    <row r="9859" spans="1:2" x14ac:dyDescent="0.2">
      <c r="A9859" t="str">
        <f>"MPC2"</f>
        <v>MPC2</v>
      </c>
      <c r="B9859" t="s">
        <v>6</v>
      </c>
    </row>
    <row r="9860" spans="1:2" x14ac:dyDescent="0.2">
      <c r="A9860" t="str">
        <f>"MPDU1"</f>
        <v>MPDU1</v>
      </c>
      <c r="B9860" t="s">
        <v>2</v>
      </c>
    </row>
    <row r="9861" spans="1:2" x14ac:dyDescent="0.2">
      <c r="A9861" t="str">
        <f>"MPDZ"</f>
        <v>MPDZ</v>
      </c>
      <c r="B9861" t="s">
        <v>3</v>
      </c>
    </row>
    <row r="9862" spans="1:2" x14ac:dyDescent="0.2">
      <c r="A9862" t="str">
        <f>"MPEG1"</f>
        <v>MPEG1</v>
      </c>
      <c r="B9862" t="s">
        <v>5</v>
      </c>
    </row>
    <row r="9863" spans="1:2" x14ac:dyDescent="0.2">
      <c r="A9863" t="str">
        <f>"MPG"</f>
        <v>MPG</v>
      </c>
      <c r="B9863" t="s">
        <v>3</v>
      </c>
    </row>
    <row r="9864" spans="1:2" x14ac:dyDescent="0.2">
      <c r="A9864" t="str">
        <f>"MPHOSPH10"</f>
        <v>MPHOSPH10</v>
      </c>
      <c r="B9864" t="s">
        <v>8</v>
      </c>
    </row>
    <row r="9865" spans="1:2" x14ac:dyDescent="0.2">
      <c r="A9865" t="str">
        <f>"MPHOSPH6"</f>
        <v>MPHOSPH6</v>
      </c>
      <c r="B9865" t="s">
        <v>3</v>
      </c>
    </row>
    <row r="9866" spans="1:2" x14ac:dyDescent="0.2">
      <c r="A9866" t="str">
        <f>"MPHOSPH8"</f>
        <v>MPHOSPH8</v>
      </c>
      <c r="B9866" t="s">
        <v>3</v>
      </c>
    </row>
    <row r="9867" spans="1:2" x14ac:dyDescent="0.2">
      <c r="A9867" t="str">
        <f>"MPHOSPH9"</f>
        <v>MPHOSPH9</v>
      </c>
      <c r="B9867" t="s">
        <v>3</v>
      </c>
    </row>
    <row r="9868" spans="1:2" x14ac:dyDescent="0.2">
      <c r="A9868" t="str">
        <f>"MPI"</f>
        <v>MPI</v>
      </c>
      <c r="B9868" t="s">
        <v>3</v>
      </c>
    </row>
    <row r="9869" spans="1:2" x14ac:dyDescent="0.2">
      <c r="A9869" t="str">
        <f>"MPL"</f>
        <v>MPL</v>
      </c>
      <c r="B9869" t="s">
        <v>3</v>
      </c>
    </row>
    <row r="9870" spans="1:2" x14ac:dyDescent="0.2">
      <c r="A9870" t="str">
        <f>"MPLKIP"</f>
        <v>MPLKIP</v>
      </c>
      <c r="B9870" t="s">
        <v>2</v>
      </c>
    </row>
    <row r="9871" spans="1:2" x14ac:dyDescent="0.2">
      <c r="A9871" t="str">
        <f>"MPND"</f>
        <v>MPND</v>
      </c>
      <c r="B9871" t="s">
        <v>2</v>
      </c>
    </row>
    <row r="9872" spans="1:2" x14ac:dyDescent="0.2">
      <c r="A9872" t="str">
        <f>"MPO"</f>
        <v>MPO</v>
      </c>
      <c r="B9872" t="s">
        <v>3</v>
      </c>
    </row>
    <row r="9873" spans="1:2" x14ac:dyDescent="0.2">
      <c r="A9873" t="str">
        <f>"MPP1"</f>
        <v>MPP1</v>
      </c>
      <c r="B9873" t="s">
        <v>4</v>
      </c>
    </row>
    <row r="9874" spans="1:2" x14ac:dyDescent="0.2">
      <c r="A9874" t="str">
        <f>"MPP2"</f>
        <v>MPP2</v>
      </c>
      <c r="B9874" t="s">
        <v>4</v>
      </c>
    </row>
    <row r="9875" spans="1:2" x14ac:dyDescent="0.2">
      <c r="A9875" t="str">
        <f>"MPP3"</f>
        <v>MPP3</v>
      </c>
      <c r="B9875" t="s">
        <v>4</v>
      </c>
    </row>
    <row r="9876" spans="1:2" x14ac:dyDescent="0.2">
      <c r="A9876" t="str">
        <f>"MPP4"</f>
        <v>MPP4</v>
      </c>
      <c r="B9876" t="s">
        <v>4</v>
      </c>
    </row>
    <row r="9877" spans="1:2" x14ac:dyDescent="0.2">
      <c r="A9877" t="str">
        <f>"MPP5"</f>
        <v>MPP5</v>
      </c>
      <c r="B9877" t="s">
        <v>3</v>
      </c>
    </row>
    <row r="9878" spans="1:2" x14ac:dyDescent="0.2">
      <c r="A9878" t="str">
        <f>"MPP6"</f>
        <v>MPP6</v>
      </c>
      <c r="B9878" t="s">
        <v>6</v>
      </c>
    </row>
    <row r="9879" spans="1:2" x14ac:dyDescent="0.2">
      <c r="A9879" t="str">
        <f>"MPP7"</f>
        <v>MPP7</v>
      </c>
      <c r="B9879" t="s">
        <v>4</v>
      </c>
    </row>
    <row r="9880" spans="1:2" x14ac:dyDescent="0.2">
      <c r="A9880" t="str">
        <f>"MPPE1"</f>
        <v>MPPE1</v>
      </c>
      <c r="B9880" t="s">
        <v>6</v>
      </c>
    </row>
    <row r="9881" spans="1:2" x14ac:dyDescent="0.2">
      <c r="A9881" t="str">
        <f>"MPPED1"</f>
        <v>MPPED1</v>
      </c>
      <c r="B9881" t="s">
        <v>4</v>
      </c>
    </row>
    <row r="9882" spans="1:2" x14ac:dyDescent="0.2">
      <c r="A9882" t="str">
        <f>"MPPED2"</f>
        <v>MPPED2</v>
      </c>
      <c r="B9882" t="s">
        <v>3</v>
      </c>
    </row>
    <row r="9883" spans="1:2" x14ac:dyDescent="0.2">
      <c r="A9883" t="str">
        <f>"MPRIP"</f>
        <v>MPRIP</v>
      </c>
      <c r="B9883" t="s">
        <v>7</v>
      </c>
    </row>
    <row r="9884" spans="1:2" x14ac:dyDescent="0.2">
      <c r="A9884" t="str">
        <f>"MPST"</f>
        <v>MPST</v>
      </c>
      <c r="B9884" t="s">
        <v>6</v>
      </c>
    </row>
    <row r="9885" spans="1:2" x14ac:dyDescent="0.2">
      <c r="A9885" t="str">
        <f>"MPV17"</f>
        <v>MPV17</v>
      </c>
      <c r="B9885" t="s">
        <v>2</v>
      </c>
    </row>
    <row r="9886" spans="1:2" x14ac:dyDescent="0.2">
      <c r="A9886" t="str">
        <f>"MPV17L"</f>
        <v>MPV17L</v>
      </c>
      <c r="B9886" t="s">
        <v>6</v>
      </c>
    </row>
    <row r="9887" spans="1:2" x14ac:dyDescent="0.2">
      <c r="A9887" t="str">
        <f>"MPV17L2"</f>
        <v>MPV17L2</v>
      </c>
      <c r="B9887" t="s">
        <v>6</v>
      </c>
    </row>
    <row r="9888" spans="1:2" x14ac:dyDescent="0.2">
      <c r="A9888" t="str">
        <f>"MPZ"</f>
        <v>MPZ</v>
      </c>
      <c r="B9888" t="s">
        <v>5</v>
      </c>
    </row>
    <row r="9889" spans="1:2" x14ac:dyDescent="0.2">
      <c r="A9889" t="str">
        <f>"MPZL1"</f>
        <v>MPZL1</v>
      </c>
      <c r="B9889" t="s">
        <v>5</v>
      </c>
    </row>
    <row r="9890" spans="1:2" x14ac:dyDescent="0.2">
      <c r="A9890" t="str">
        <f>"MPZL2"</f>
        <v>MPZL2</v>
      </c>
      <c r="B9890" t="s">
        <v>6</v>
      </c>
    </row>
    <row r="9891" spans="1:2" x14ac:dyDescent="0.2">
      <c r="A9891" t="str">
        <f>"MPZL3"</f>
        <v>MPZL3</v>
      </c>
      <c r="B9891" t="s">
        <v>5</v>
      </c>
    </row>
    <row r="9892" spans="1:2" x14ac:dyDescent="0.2">
      <c r="A9892" t="str">
        <f>"MR1"</f>
        <v>MR1</v>
      </c>
      <c r="B9892" t="s">
        <v>7</v>
      </c>
    </row>
    <row r="9893" spans="1:2" x14ac:dyDescent="0.2">
      <c r="A9893" t="str">
        <f>"MRAP"</f>
        <v>MRAP</v>
      </c>
      <c r="B9893" t="s">
        <v>6</v>
      </c>
    </row>
    <row r="9894" spans="1:2" x14ac:dyDescent="0.2">
      <c r="A9894" t="str">
        <f>"MRAP2"</f>
        <v>MRAP2</v>
      </c>
      <c r="B9894" t="s">
        <v>6</v>
      </c>
    </row>
    <row r="9895" spans="1:2" x14ac:dyDescent="0.2">
      <c r="A9895" t="str">
        <f>"MRAS"</f>
        <v>MRAS</v>
      </c>
      <c r="B9895" t="s">
        <v>6</v>
      </c>
    </row>
    <row r="9896" spans="1:2" x14ac:dyDescent="0.2">
      <c r="A9896" t="str">
        <f>"MRC1"</f>
        <v>MRC1</v>
      </c>
      <c r="B9896" t="s">
        <v>2</v>
      </c>
    </row>
    <row r="9897" spans="1:2" x14ac:dyDescent="0.2">
      <c r="A9897" t="str">
        <f>"MRC2"</f>
        <v>MRC2</v>
      </c>
      <c r="B9897" t="s">
        <v>6</v>
      </c>
    </row>
    <row r="9898" spans="1:2" x14ac:dyDescent="0.2">
      <c r="A9898" t="str">
        <f>"MRE11A"</f>
        <v>MRE11A</v>
      </c>
      <c r="B9898" t="s">
        <v>3</v>
      </c>
    </row>
    <row r="9899" spans="1:2" x14ac:dyDescent="0.2">
      <c r="A9899" t="str">
        <f>"MREG"</f>
        <v>MREG</v>
      </c>
      <c r="B9899" t="s">
        <v>4</v>
      </c>
    </row>
    <row r="9900" spans="1:2" x14ac:dyDescent="0.2">
      <c r="A9900" t="str">
        <f>"MRFAP1"</f>
        <v>MRFAP1</v>
      </c>
      <c r="B9900" t="s">
        <v>4</v>
      </c>
    </row>
    <row r="9901" spans="1:2" x14ac:dyDescent="0.2">
      <c r="A9901" t="str">
        <f>"MRFAP1L1"</f>
        <v>MRFAP1L1</v>
      </c>
      <c r="B9901" t="s">
        <v>8</v>
      </c>
    </row>
    <row r="9902" spans="1:2" x14ac:dyDescent="0.2">
      <c r="A9902" t="str">
        <f>"MRGBP"</f>
        <v>MRGBP</v>
      </c>
      <c r="B9902" t="s">
        <v>8</v>
      </c>
    </row>
    <row r="9903" spans="1:2" x14ac:dyDescent="0.2">
      <c r="A9903" t="str">
        <f>"MRGPRD"</f>
        <v>MRGPRD</v>
      </c>
      <c r="B9903" t="s">
        <v>5</v>
      </c>
    </row>
    <row r="9904" spans="1:2" x14ac:dyDescent="0.2">
      <c r="A9904" t="str">
        <f>"MRGPRE"</f>
        <v>MRGPRE</v>
      </c>
      <c r="B9904" t="s">
        <v>5</v>
      </c>
    </row>
    <row r="9905" spans="1:2" x14ac:dyDescent="0.2">
      <c r="A9905" t="str">
        <f>"MRGPRF"</f>
        <v>MRGPRF</v>
      </c>
      <c r="B9905" t="s">
        <v>5</v>
      </c>
    </row>
    <row r="9906" spans="1:2" x14ac:dyDescent="0.2">
      <c r="A9906" t="str">
        <f>"MRGPRG"</f>
        <v>MRGPRG</v>
      </c>
      <c r="B9906" t="s">
        <v>5</v>
      </c>
    </row>
    <row r="9907" spans="1:2" x14ac:dyDescent="0.2">
      <c r="A9907" t="str">
        <f>"MRGPRX1"</f>
        <v>MRGPRX1</v>
      </c>
      <c r="B9907" t="s">
        <v>5</v>
      </c>
    </row>
    <row r="9908" spans="1:2" x14ac:dyDescent="0.2">
      <c r="A9908" t="str">
        <f>"MRGPRX2"</f>
        <v>MRGPRX2</v>
      </c>
      <c r="B9908" t="s">
        <v>5</v>
      </c>
    </row>
    <row r="9909" spans="1:2" x14ac:dyDescent="0.2">
      <c r="A9909" t="str">
        <f>"MRGPRX3"</f>
        <v>MRGPRX3</v>
      </c>
      <c r="B9909" t="s">
        <v>5</v>
      </c>
    </row>
    <row r="9910" spans="1:2" x14ac:dyDescent="0.2">
      <c r="A9910" t="str">
        <f>"MRGPRX4"</f>
        <v>MRGPRX4</v>
      </c>
      <c r="B9910" t="s">
        <v>5</v>
      </c>
    </row>
    <row r="9911" spans="1:2" x14ac:dyDescent="0.2">
      <c r="A9911" t="str">
        <f>"MRI1"</f>
        <v>MRI1</v>
      </c>
      <c r="B9911" t="s">
        <v>8</v>
      </c>
    </row>
    <row r="9912" spans="1:2" x14ac:dyDescent="0.2">
      <c r="A9912" t="str">
        <f>"MRM1"</f>
        <v>MRM1</v>
      </c>
      <c r="B9912" t="s">
        <v>2</v>
      </c>
    </row>
    <row r="9913" spans="1:2" x14ac:dyDescent="0.2">
      <c r="A9913" t="str">
        <f>"MRO"</f>
        <v>MRO</v>
      </c>
      <c r="B9913" t="s">
        <v>8</v>
      </c>
    </row>
    <row r="9914" spans="1:2" x14ac:dyDescent="0.2">
      <c r="A9914" t="str">
        <f>"MROH1"</f>
        <v>MROH1</v>
      </c>
      <c r="B9914" t="s">
        <v>4</v>
      </c>
    </row>
    <row r="9915" spans="1:2" x14ac:dyDescent="0.2">
      <c r="A9915" t="str">
        <f>"MROH2A"</f>
        <v>MROH2A</v>
      </c>
      <c r="B9915" t="s">
        <v>4</v>
      </c>
    </row>
    <row r="9916" spans="1:2" x14ac:dyDescent="0.2">
      <c r="A9916" t="str">
        <f>"MROH2B"</f>
        <v>MROH2B</v>
      </c>
      <c r="B9916" t="s">
        <v>4</v>
      </c>
    </row>
    <row r="9917" spans="1:2" x14ac:dyDescent="0.2">
      <c r="A9917" t="str">
        <f>"MROH5"</f>
        <v>MROH5</v>
      </c>
      <c r="B9917" t="s">
        <v>4</v>
      </c>
    </row>
    <row r="9918" spans="1:2" x14ac:dyDescent="0.2">
      <c r="A9918" t="str">
        <f>"MROH6"</f>
        <v>MROH6</v>
      </c>
      <c r="B9918" t="s">
        <v>4</v>
      </c>
    </row>
    <row r="9919" spans="1:2" x14ac:dyDescent="0.2">
      <c r="A9919" t="str">
        <f>"MROH7"</f>
        <v>MROH7</v>
      </c>
      <c r="B9919" t="s">
        <v>2</v>
      </c>
    </row>
    <row r="9920" spans="1:2" x14ac:dyDescent="0.2">
      <c r="A9920" t="str">
        <f>"MROH8"</f>
        <v>MROH8</v>
      </c>
      <c r="B9920" t="s">
        <v>2</v>
      </c>
    </row>
    <row r="9921" spans="1:2" x14ac:dyDescent="0.2">
      <c r="A9921" t="str">
        <f>"MROH9"</f>
        <v>MROH9</v>
      </c>
      <c r="B9921" t="s">
        <v>4</v>
      </c>
    </row>
    <row r="9922" spans="1:2" x14ac:dyDescent="0.2">
      <c r="A9922" t="str">
        <f>"MRP63"</f>
        <v>MRP63</v>
      </c>
      <c r="B9922" t="s">
        <v>6</v>
      </c>
    </row>
    <row r="9923" spans="1:2" x14ac:dyDescent="0.2">
      <c r="A9923" t="str">
        <f>"MRPL1"</f>
        <v>MRPL1</v>
      </c>
      <c r="B9923" t="s">
        <v>6</v>
      </c>
    </row>
    <row r="9924" spans="1:2" x14ac:dyDescent="0.2">
      <c r="A9924" t="str">
        <f>"MRPL10"</f>
        <v>MRPL10</v>
      </c>
      <c r="B9924" t="s">
        <v>6</v>
      </c>
    </row>
    <row r="9925" spans="1:2" x14ac:dyDescent="0.2">
      <c r="A9925" t="str">
        <f>"MRPL11"</f>
        <v>MRPL11</v>
      </c>
      <c r="B9925" t="s">
        <v>6</v>
      </c>
    </row>
    <row r="9926" spans="1:2" x14ac:dyDescent="0.2">
      <c r="A9926" t="str">
        <f>"MRPL12"</f>
        <v>MRPL12</v>
      </c>
      <c r="B9926" t="s">
        <v>6</v>
      </c>
    </row>
    <row r="9927" spans="1:2" x14ac:dyDescent="0.2">
      <c r="A9927" t="str">
        <f>"MRPL13"</f>
        <v>MRPL13</v>
      </c>
      <c r="B9927" t="s">
        <v>6</v>
      </c>
    </row>
    <row r="9928" spans="1:2" x14ac:dyDescent="0.2">
      <c r="A9928" t="str">
        <f>"MRPL14"</f>
        <v>MRPL14</v>
      </c>
      <c r="B9928" t="s">
        <v>6</v>
      </c>
    </row>
    <row r="9929" spans="1:2" x14ac:dyDescent="0.2">
      <c r="A9929" t="str">
        <f>"MRPL15"</f>
        <v>MRPL15</v>
      </c>
      <c r="B9929" t="s">
        <v>6</v>
      </c>
    </row>
    <row r="9930" spans="1:2" x14ac:dyDescent="0.2">
      <c r="A9930" t="str">
        <f>"MRPL16"</f>
        <v>MRPL16</v>
      </c>
      <c r="B9930" t="s">
        <v>6</v>
      </c>
    </row>
    <row r="9931" spans="1:2" x14ac:dyDescent="0.2">
      <c r="A9931" t="str">
        <f>"MRPL17"</f>
        <v>MRPL17</v>
      </c>
      <c r="B9931" t="s">
        <v>6</v>
      </c>
    </row>
    <row r="9932" spans="1:2" x14ac:dyDescent="0.2">
      <c r="A9932" t="str">
        <f>"MRPL18"</f>
        <v>MRPL18</v>
      </c>
      <c r="B9932" t="s">
        <v>6</v>
      </c>
    </row>
    <row r="9933" spans="1:2" x14ac:dyDescent="0.2">
      <c r="A9933" t="str">
        <f>"MRPL19"</f>
        <v>MRPL19</v>
      </c>
      <c r="B9933" t="s">
        <v>6</v>
      </c>
    </row>
    <row r="9934" spans="1:2" x14ac:dyDescent="0.2">
      <c r="A9934" t="str">
        <f>"MRPL2"</f>
        <v>MRPL2</v>
      </c>
      <c r="B9934" t="s">
        <v>6</v>
      </c>
    </row>
    <row r="9935" spans="1:2" x14ac:dyDescent="0.2">
      <c r="A9935" t="str">
        <f>"MRPL20"</f>
        <v>MRPL20</v>
      </c>
      <c r="B9935" t="s">
        <v>6</v>
      </c>
    </row>
    <row r="9936" spans="1:2" x14ac:dyDescent="0.2">
      <c r="A9936" t="str">
        <f>"MRPL21"</f>
        <v>MRPL21</v>
      </c>
      <c r="B9936" t="s">
        <v>6</v>
      </c>
    </row>
    <row r="9937" spans="1:2" x14ac:dyDescent="0.2">
      <c r="A9937" t="str">
        <f>"MRPL22"</f>
        <v>MRPL22</v>
      </c>
      <c r="B9937" t="s">
        <v>6</v>
      </c>
    </row>
    <row r="9938" spans="1:2" x14ac:dyDescent="0.2">
      <c r="A9938" t="str">
        <f>"MRPL23"</f>
        <v>MRPL23</v>
      </c>
      <c r="B9938" t="s">
        <v>6</v>
      </c>
    </row>
    <row r="9939" spans="1:2" x14ac:dyDescent="0.2">
      <c r="A9939" t="str">
        <f>"MRPL24"</f>
        <v>MRPL24</v>
      </c>
      <c r="B9939" t="s">
        <v>6</v>
      </c>
    </row>
    <row r="9940" spans="1:2" x14ac:dyDescent="0.2">
      <c r="A9940" t="str">
        <f>"MRPL27"</f>
        <v>MRPL27</v>
      </c>
      <c r="B9940" t="s">
        <v>6</v>
      </c>
    </row>
    <row r="9941" spans="1:2" x14ac:dyDescent="0.2">
      <c r="A9941" t="str">
        <f>"MRPL28"</f>
        <v>MRPL28</v>
      </c>
      <c r="B9941" t="s">
        <v>6</v>
      </c>
    </row>
    <row r="9942" spans="1:2" x14ac:dyDescent="0.2">
      <c r="A9942" t="str">
        <f>"MRPL3"</f>
        <v>MRPL3</v>
      </c>
      <c r="B9942" t="s">
        <v>6</v>
      </c>
    </row>
    <row r="9943" spans="1:2" x14ac:dyDescent="0.2">
      <c r="A9943" t="str">
        <f>"MRPL30"</f>
        <v>MRPL30</v>
      </c>
      <c r="B9943" t="s">
        <v>6</v>
      </c>
    </row>
    <row r="9944" spans="1:2" x14ac:dyDescent="0.2">
      <c r="A9944" t="str">
        <f>"MRPL32"</f>
        <v>MRPL32</v>
      </c>
      <c r="B9944" t="s">
        <v>6</v>
      </c>
    </row>
    <row r="9945" spans="1:2" x14ac:dyDescent="0.2">
      <c r="A9945" t="str">
        <f>"MRPL33"</f>
        <v>MRPL33</v>
      </c>
      <c r="B9945" t="s">
        <v>6</v>
      </c>
    </row>
    <row r="9946" spans="1:2" x14ac:dyDescent="0.2">
      <c r="A9946" t="str">
        <f>"MRPL34"</f>
        <v>MRPL34</v>
      </c>
      <c r="B9946" t="s">
        <v>6</v>
      </c>
    </row>
    <row r="9947" spans="1:2" x14ac:dyDescent="0.2">
      <c r="A9947" t="str">
        <f>"MRPL35"</f>
        <v>MRPL35</v>
      </c>
      <c r="B9947" t="s">
        <v>6</v>
      </c>
    </row>
    <row r="9948" spans="1:2" x14ac:dyDescent="0.2">
      <c r="A9948" t="str">
        <f>"MRPL36"</f>
        <v>MRPL36</v>
      </c>
      <c r="B9948" t="s">
        <v>6</v>
      </c>
    </row>
    <row r="9949" spans="1:2" x14ac:dyDescent="0.2">
      <c r="A9949" t="str">
        <f>"MRPL37"</f>
        <v>MRPL37</v>
      </c>
      <c r="B9949" t="s">
        <v>6</v>
      </c>
    </row>
    <row r="9950" spans="1:2" x14ac:dyDescent="0.2">
      <c r="A9950" t="str">
        <f>"MRPL38"</f>
        <v>MRPL38</v>
      </c>
      <c r="B9950" t="s">
        <v>6</v>
      </c>
    </row>
    <row r="9951" spans="1:2" x14ac:dyDescent="0.2">
      <c r="A9951" t="str">
        <f>"MRPL39"</f>
        <v>MRPL39</v>
      </c>
      <c r="B9951" t="s">
        <v>6</v>
      </c>
    </row>
    <row r="9952" spans="1:2" x14ac:dyDescent="0.2">
      <c r="A9952" t="str">
        <f>"MRPL4"</f>
        <v>MRPL4</v>
      </c>
      <c r="B9952" t="s">
        <v>6</v>
      </c>
    </row>
    <row r="9953" spans="1:2" x14ac:dyDescent="0.2">
      <c r="A9953" t="str">
        <f>"MRPL40"</f>
        <v>MRPL40</v>
      </c>
      <c r="B9953" t="s">
        <v>6</v>
      </c>
    </row>
    <row r="9954" spans="1:2" x14ac:dyDescent="0.2">
      <c r="A9954" t="str">
        <f>"MRPL41"</f>
        <v>MRPL41</v>
      </c>
      <c r="B9954" t="s">
        <v>3</v>
      </c>
    </row>
    <row r="9955" spans="1:2" x14ac:dyDescent="0.2">
      <c r="A9955" t="str">
        <f>"MRPL42"</f>
        <v>MRPL42</v>
      </c>
      <c r="B9955" t="s">
        <v>6</v>
      </c>
    </row>
    <row r="9956" spans="1:2" x14ac:dyDescent="0.2">
      <c r="A9956" t="str">
        <f>"MRPL43"</f>
        <v>MRPL43</v>
      </c>
      <c r="B9956" t="s">
        <v>6</v>
      </c>
    </row>
    <row r="9957" spans="1:2" x14ac:dyDescent="0.2">
      <c r="A9957" t="str">
        <f>"MRPL44"</f>
        <v>MRPL44</v>
      </c>
      <c r="B9957" t="s">
        <v>6</v>
      </c>
    </row>
    <row r="9958" spans="1:2" x14ac:dyDescent="0.2">
      <c r="A9958" t="str">
        <f>"MRPL45"</f>
        <v>MRPL45</v>
      </c>
      <c r="B9958" t="s">
        <v>6</v>
      </c>
    </row>
    <row r="9959" spans="1:2" x14ac:dyDescent="0.2">
      <c r="A9959" t="str">
        <f>"MRPL46"</f>
        <v>MRPL46</v>
      </c>
      <c r="B9959" t="s">
        <v>3</v>
      </c>
    </row>
    <row r="9960" spans="1:2" x14ac:dyDescent="0.2">
      <c r="A9960" t="str">
        <f>"MRPL47"</f>
        <v>MRPL47</v>
      </c>
      <c r="B9960" t="s">
        <v>6</v>
      </c>
    </row>
    <row r="9961" spans="1:2" x14ac:dyDescent="0.2">
      <c r="A9961" t="str">
        <f>"MRPL48"</f>
        <v>MRPL48</v>
      </c>
      <c r="B9961" t="s">
        <v>6</v>
      </c>
    </row>
    <row r="9962" spans="1:2" x14ac:dyDescent="0.2">
      <c r="A9962" t="str">
        <f>"MRPL49"</f>
        <v>MRPL49</v>
      </c>
      <c r="B9962" t="s">
        <v>6</v>
      </c>
    </row>
    <row r="9963" spans="1:2" x14ac:dyDescent="0.2">
      <c r="A9963" t="str">
        <f>"MRPL50"</f>
        <v>MRPL50</v>
      </c>
      <c r="B9963" t="s">
        <v>6</v>
      </c>
    </row>
    <row r="9964" spans="1:2" x14ac:dyDescent="0.2">
      <c r="A9964" t="str">
        <f>"MRPL51"</f>
        <v>MRPL51</v>
      </c>
      <c r="B9964" t="s">
        <v>2</v>
      </c>
    </row>
    <row r="9965" spans="1:2" x14ac:dyDescent="0.2">
      <c r="A9965" t="str">
        <f>"MRPL52"</f>
        <v>MRPL52</v>
      </c>
      <c r="B9965" t="s">
        <v>6</v>
      </c>
    </row>
    <row r="9966" spans="1:2" x14ac:dyDescent="0.2">
      <c r="A9966" t="str">
        <f>"MRPL53"</f>
        <v>MRPL53</v>
      </c>
      <c r="B9966" t="s">
        <v>6</v>
      </c>
    </row>
    <row r="9967" spans="1:2" x14ac:dyDescent="0.2">
      <c r="A9967" t="str">
        <f>"MRPL54"</f>
        <v>MRPL54</v>
      </c>
      <c r="B9967" t="s">
        <v>2</v>
      </c>
    </row>
    <row r="9968" spans="1:2" x14ac:dyDescent="0.2">
      <c r="A9968" t="str">
        <f>"MRPL55"</f>
        <v>MRPL55</v>
      </c>
      <c r="B9968" t="s">
        <v>6</v>
      </c>
    </row>
    <row r="9969" spans="1:2" x14ac:dyDescent="0.2">
      <c r="A9969" t="str">
        <f>"MRPL9"</f>
        <v>MRPL9</v>
      </c>
      <c r="B9969" t="s">
        <v>6</v>
      </c>
    </row>
    <row r="9970" spans="1:2" x14ac:dyDescent="0.2">
      <c r="A9970" t="str">
        <f>"MRPS10"</f>
        <v>MRPS10</v>
      </c>
      <c r="B9970" t="s">
        <v>6</v>
      </c>
    </row>
    <row r="9971" spans="1:2" x14ac:dyDescent="0.2">
      <c r="A9971" t="str">
        <f>"MRPS11"</f>
        <v>MRPS11</v>
      </c>
      <c r="B9971" t="s">
        <v>3</v>
      </c>
    </row>
    <row r="9972" spans="1:2" x14ac:dyDescent="0.2">
      <c r="A9972" t="str">
        <f>"MRPS12"</f>
        <v>MRPS12</v>
      </c>
      <c r="B9972" t="s">
        <v>6</v>
      </c>
    </row>
    <row r="9973" spans="1:2" x14ac:dyDescent="0.2">
      <c r="A9973" t="str">
        <f>"MRPS14"</f>
        <v>MRPS14</v>
      </c>
      <c r="B9973" t="s">
        <v>6</v>
      </c>
    </row>
    <row r="9974" spans="1:2" x14ac:dyDescent="0.2">
      <c r="A9974" t="str">
        <f>"MRPS15"</f>
        <v>MRPS15</v>
      </c>
      <c r="B9974" t="s">
        <v>6</v>
      </c>
    </row>
    <row r="9975" spans="1:2" x14ac:dyDescent="0.2">
      <c r="A9975" t="str">
        <f>"MRPS16"</f>
        <v>MRPS16</v>
      </c>
      <c r="B9975" t="s">
        <v>6</v>
      </c>
    </row>
    <row r="9976" spans="1:2" x14ac:dyDescent="0.2">
      <c r="A9976" t="str">
        <f>"MRPS17"</f>
        <v>MRPS17</v>
      </c>
      <c r="B9976" t="s">
        <v>6</v>
      </c>
    </row>
    <row r="9977" spans="1:2" x14ac:dyDescent="0.2">
      <c r="A9977" t="str">
        <f>"MRPS18A"</f>
        <v>MRPS18A</v>
      </c>
      <c r="B9977" t="s">
        <v>6</v>
      </c>
    </row>
    <row r="9978" spans="1:2" x14ac:dyDescent="0.2">
      <c r="A9978" t="str">
        <f>"MRPS18B"</f>
        <v>MRPS18B</v>
      </c>
      <c r="B9978" t="s">
        <v>2</v>
      </c>
    </row>
    <row r="9979" spans="1:2" x14ac:dyDescent="0.2">
      <c r="A9979" t="str">
        <f>"MRPS18C"</f>
        <v>MRPS18C</v>
      </c>
      <c r="B9979" t="s">
        <v>6</v>
      </c>
    </row>
    <row r="9980" spans="1:2" x14ac:dyDescent="0.2">
      <c r="A9980" t="str">
        <f>"MRPS2"</f>
        <v>MRPS2</v>
      </c>
      <c r="B9980" t="s">
        <v>6</v>
      </c>
    </row>
    <row r="9981" spans="1:2" x14ac:dyDescent="0.2">
      <c r="A9981" t="str">
        <f>"MRPS21"</f>
        <v>MRPS21</v>
      </c>
      <c r="B9981" t="s">
        <v>6</v>
      </c>
    </row>
    <row r="9982" spans="1:2" x14ac:dyDescent="0.2">
      <c r="A9982" t="str">
        <f>"MRPS22"</f>
        <v>MRPS22</v>
      </c>
      <c r="B9982" t="s">
        <v>6</v>
      </c>
    </row>
    <row r="9983" spans="1:2" x14ac:dyDescent="0.2">
      <c r="A9983" t="str">
        <f>"MRPS23"</f>
        <v>MRPS23</v>
      </c>
      <c r="B9983" t="s">
        <v>6</v>
      </c>
    </row>
    <row r="9984" spans="1:2" x14ac:dyDescent="0.2">
      <c r="A9984" t="str">
        <f>"MRPS24"</f>
        <v>MRPS24</v>
      </c>
      <c r="B9984" t="s">
        <v>6</v>
      </c>
    </row>
    <row r="9985" spans="1:2" x14ac:dyDescent="0.2">
      <c r="A9985" t="str">
        <f>"MRPS25"</f>
        <v>MRPS25</v>
      </c>
      <c r="B9985" t="s">
        <v>6</v>
      </c>
    </row>
    <row r="9986" spans="1:2" x14ac:dyDescent="0.2">
      <c r="A9986" t="str">
        <f>"MRPS26"</f>
        <v>MRPS26</v>
      </c>
      <c r="B9986" t="s">
        <v>3</v>
      </c>
    </row>
    <row r="9987" spans="1:2" x14ac:dyDescent="0.2">
      <c r="A9987" t="str">
        <f>"MRPS27"</f>
        <v>MRPS27</v>
      </c>
      <c r="B9987" t="s">
        <v>6</v>
      </c>
    </row>
    <row r="9988" spans="1:2" x14ac:dyDescent="0.2">
      <c r="A9988" t="str">
        <f>"MRPS28"</f>
        <v>MRPS28</v>
      </c>
      <c r="B9988" t="s">
        <v>2</v>
      </c>
    </row>
    <row r="9989" spans="1:2" x14ac:dyDescent="0.2">
      <c r="A9989" t="str">
        <f>"MRPS30"</f>
        <v>MRPS30</v>
      </c>
      <c r="B9989" t="s">
        <v>6</v>
      </c>
    </row>
    <row r="9990" spans="1:2" x14ac:dyDescent="0.2">
      <c r="A9990" t="str">
        <f>"MRPS31"</f>
        <v>MRPS31</v>
      </c>
      <c r="B9990" t="s">
        <v>3</v>
      </c>
    </row>
    <row r="9991" spans="1:2" x14ac:dyDescent="0.2">
      <c r="A9991" t="str">
        <f>"MRPS33"</f>
        <v>MRPS33</v>
      </c>
      <c r="B9991" t="s">
        <v>6</v>
      </c>
    </row>
    <row r="9992" spans="1:2" x14ac:dyDescent="0.2">
      <c r="A9992" t="str">
        <f>"MRPS34"</f>
        <v>MRPS34</v>
      </c>
      <c r="B9992" t="s">
        <v>6</v>
      </c>
    </row>
    <row r="9993" spans="1:2" x14ac:dyDescent="0.2">
      <c r="A9993" t="str">
        <f>"MRPS35"</f>
        <v>MRPS35</v>
      </c>
      <c r="B9993" t="s">
        <v>3</v>
      </c>
    </row>
    <row r="9994" spans="1:2" x14ac:dyDescent="0.2">
      <c r="A9994" t="str">
        <f>"MRPS36"</f>
        <v>MRPS36</v>
      </c>
      <c r="B9994" t="s">
        <v>6</v>
      </c>
    </row>
    <row r="9995" spans="1:2" x14ac:dyDescent="0.2">
      <c r="A9995" t="str">
        <f>"MRPS5"</f>
        <v>MRPS5</v>
      </c>
      <c r="B9995" t="s">
        <v>6</v>
      </c>
    </row>
    <row r="9996" spans="1:2" x14ac:dyDescent="0.2">
      <c r="A9996" t="str">
        <f>"MRPS6"</f>
        <v>MRPS6</v>
      </c>
      <c r="B9996" t="s">
        <v>6</v>
      </c>
    </row>
    <row r="9997" spans="1:2" x14ac:dyDescent="0.2">
      <c r="A9997" t="str">
        <f>"MRPS7"</f>
        <v>MRPS7</v>
      </c>
      <c r="B9997" t="s">
        <v>6</v>
      </c>
    </row>
    <row r="9998" spans="1:2" x14ac:dyDescent="0.2">
      <c r="A9998" t="str">
        <f>"MRPS9"</f>
        <v>MRPS9</v>
      </c>
      <c r="B9998" t="s">
        <v>3</v>
      </c>
    </row>
    <row r="9999" spans="1:2" x14ac:dyDescent="0.2">
      <c r="A9999" t="str">
        <f>"MRRF"</f>
        <v>MRRF</v>
      </c>
      <c r="B9999" t="s">
        <v>6</v>
      </c>
    </row>
    <row r="10000" spans="1:2" x14ac:dyDescent="0.2">
      <c r="A10000" t="str">
        <f>"MRS2"</f>
        <v>MRS2</v>
      </c>
      <c r="B10000" t="s">
        <v>6</v>
      </c>
    </row>
    <row r="10001" spans="1:2" x14ac:dyDescent="0.2">
      <c r="A10001" t="str">
        <f>"MRTO4"</f>
        <v>MRTO4</v>
      </c>
      <c r="B10001" t="s">
        <v>8</v>
      </c>
    </row>
    <row r="10002" spans="1:2" x14ac:dyDescent="0.2">
      <c r="A10002" t="str">
        <f>"MRVI1"</f>
        <v>MRVI1</v>
      </c>
      <c r="B10002" t="s">
        <v>2</v>
      </c>
    </row>
    <row r="10003" spans="1:2" x14ac:dyDescent="0.2">
      <c r="A10003" t="str">
        <f>"MS4A1"</f>
        <v>MS4A1</v>
      </c>
      <c r="B10003" t="s">
        <v>7</v>
      </c>
    </row>
    <row r="10004" spans="1:2" x14ac:dyDescent="0.2">
      <c r="A10004" t="str">
        <f>"MS4A10"</f>
        <v>MS4A10</v>
      </c>
      <c r="B10004" t="s">
        <v>5</v>
      </c>
    </row>
    <row r="10005" spans="1:2" x14ac:dyDescent="0.2">
      <c r="A10005" t="str">
        <f>"MS4A12"</f>
        <v>MS4A12</v>
      </c>
      <c r="B10005" t="s">
        <v>5</v>
      </c>
    </row>
    <row r="10006" spans="1:2" x14ac:dyDescent="0.2">
      <c r="A10006" t="str">
        <f>"MS4A13"</f>
        <v>MS4A13</v>
      </c>
      <c r="B10006" t="s">
        <v>5</v>
      </c>
    </row>
    <row r="10007" spans="1:2" x14ac:dyDescent="0.2">
      <c r="A10007" t="str">
        <f>"MS4A14"</f>
        <v>MS4A14</v>
      </c>
      <c r="B10007" t="s">
        <v>5</v>
      </c>
    </row>
    <row r="10008" spans="1:2" x14ac:dyDescent="0.2">
      <c r="A10008" t="str">
        <f>"MS4A15"</f>
        <v>MS4A15</v>
      </c>
      <c r="B10008" t="s">
        <v>5</v>
      </c>
    </row>
    <row r="10009" spans="1:2" x14ac:dyDescent="0.2">
      <c r="A10009" t="str">
        <f>"MS4A18"</f>
        <v>MS4A18</v>
      </c>
      <c r="B10009" t="s">
        <v>5</v>
      </c>
    </row>
    <row r="10010" spans="1:2" x14ac:dyDescent="0.2">
      <c r="A10010" t="str">
        <f>"MS4A2"</f>
        <v>MS4A2</v>
      </c>
      <c r="B10010" t="s">
        <v>7</v>
      </c>
    </row>
    <row r="10011" spans="1:2" x14ac:dyDescent="0.2">
      <c r="A10011" t="str">
        <f>"MS4A3"</f>
        <v>MS4A3</v>
      </c>
      <c r="B10011" t="s">
        <v>5</v>
      </c>
    </row>
    <row r="10012" spans="1:2" x14ac:dyDescent="0.2">
      <c r="A10012" t="str">
        <f>"MS4A4A"</f>
        <v>MS4A4A</v>
      </c>
      <c r="B10012" t="s">
        <v>5</v>
      </c>
    </row>
    <row r="10013" spans="1:2" x14ac:dyDescent="0.2">
      <c r="A10013" t="str">
        <f>"MS4A4E"</f>
        <v>MS4A4E</v>
      </c>
      <c r="B10013" t="s">
        <v>4</v>
      </c>
    </row>
    <row r="10014" spans="1:2" x14ac:dyDescent="0.2">
      <c r="A10014" t="str">
        <f>"MS4A5"</f>
        <v>MS4A5</v>
      </c>
      <c r="B10014" t="s">
        <v>5</v>
      </c>
    </row>
    <row r="10015" spans="1:2" x14ac:dyDescent="0.2">
      <c r="A10015" t="str">
        <f>"MS4A6A"</f>
        <v>MS4A6A</v>
      </c>
      <c r="B10015" t="s">
        <v>5</v>
      </c>
    </row>
    <row r="10016" spans="1:2" x14ac:dyDescent="0.2">
      <c r="A10016" t="str">
        <f>"MS4A6E"</f>
        <v>MS4A6E</v>
      </c>
      <c r="B10016" t="s">
        <v>5</v>
      </c>
    </row>
    <row r="10017" spans="1:2" x14ac:dyDescent="0.2">
      <c r="A10017" t="str">
        <f>"MS4A7"</f>
        <v>MS4A7</v>
      </c>
      <c r="B10017" t="s">
        <v>5</v>
      </c>
    </row>
    <row r="10018" spans="1:2" x14ac:dyDescent="0.2">
      <c r="A10018" t="str">
        <f>"MS4A8"</f>
        <v>MS4A8</v>
      </c>
      <c r="B10018" t="s">
        <v>5</v>
      </c>
    </row>
    <row r="10019" spans="1:2" x14ac:dyDescent="0.2">
      <c r="A10019" t="str">
        <f>"MSANTD1"</f>
        <v>MSANTD1</v>
      </c>
      <c r="B10019" t="s">
        <v>4</v>
      </c>
    </row>
    <row r="10020" spans="1:2" x14ac:dyDescent="0.2">
      <c r="A10020" t="str">
        <f>"MSANTD2"</f>
        <v>MSANTD2</v>
      </c>
      <c r="B10020" t="s">
        <v>4</v>
      </c>
    </row>
    <row r="10021" spans="1:2" x14ac:dyDescent="0.2">
      <c r="A10021" t="str">
        <f>"MSANTD3"</f>
        <v>MSANTD3</v>
      </c>
      <c r="B10021" t="s">
        <v>4</v>
      </c>
    </row>
    <row r="10022" spans="1:2" x14ac:dyDescent="0.2">
      <c r="A10022" t="str">
        <f>"MSANTD3-TMEFF1"</f>
        <v>MSANTD3-TMEFF1</v>
      </c>
      <c r="B10022" t="s">
        <v>4</v>
      </c>
    </row>
    <row r="10023" spans="1:2" x14ac:dyDescent="0.2">
      <c r="A10023" t="str">
        <f>"MSANTD4"</f>
        <v>MSANTD4</v>
      </c>
      <c r="B10023" t="s">
        <v>8</v>
      </c>
    </row>
    <row r="10024" spans="1:2" x14ac:dyDescent="0.2">
      <c r="A10024" t="str">
        <f>"MSC"</f>
        <v>MSC</v>
      </c>
      <c r="B10024" t="s">
        <v>8</v>
      </c>
    </row>
    <row r="10025" spans="1:2" x14ac:dyDescent="0.2">
      <c r="A10025" t="str">
        <f>"MSGN1"</f>
        <v>MSGN1</v>
      </c>
      <c r="B10025" t="s">
        <v>8</v>
      </c>
    </row>
    <row r="10026" spans="1:2" x14ac:dyDescent="0.2">
      <c r="A10026" t="str">
        <f>"MSH2"</f>
        <v>MSH2</v>
      </c>
      <c r="B10026" t="s">
        <v>3</v>
      </c>
    </row>
    <row r="10027" spans="1:2" x14ac:dyDescent="0.2">
      <c r="A10027" t="str">
        <f>"MSH3"</f>
        <v>MSH3</v>
      </c>
      <c r="B10027" t="s">
        <v>3</v>
      </c>
    </row>
    <row r="10028" spans="1:2" x14ac:dyDescent="0.2">
      <c r="A10028" t="str">
        <f>"MSH4"</f>
        <v>MSH4</v>
      </c>
      <c r="B10028" t="s">
        <v>2</v>
      </c>
    </row>
    <row r="10029" spans="1:2" x14ac:dyDescent="0.2">
      <c r="A10029" t="str">
        <f>"MSH5"</f>
        <v>MSH5</v>
      </c>
      <c r="B10029" t="s">
        <v>8</v>
      </c>
    </row>
    <row r="10030" spans="1:2" x14ac:dyDescent="0.2">
      <c r="A10030" t="str">
        <f>"MSH6"</f>
        <v>MSH6</v>
      </c>
      <c r="B10030" t="s">
        <v>3</v>
      </c>
    </row>
    <row r="10031" spans="1:2" x14ac:dyDescent="0.2">
      <c r="A10031" t="str">
        <f>"MSI1"</f>
        <v>MSI1</v>
      </c>
      <c r="B10031" t="s">
        <v>3</v>
      </c>
    </row>
    <row r="10032" spans="1:2" x14ac:dyDescent="0.2">
      <c r="A10032" t="str">
        <f>"MSI2"</f>
        <v>MSI2</v>
      </c>
      <c r="B10032" t="s">
        <v>3</v>
      </c>
    </row>
    <row r="10033" spans="1:2" x14ac:dyDescent="0.2">
      <c r="A10033" t="str">
        <f>"MSL1"</f>
        <v>MSL1</v>
      </c>
      <c r="B10033" t="s">
        <v>4</v>
      </c>
    </row>
    <row r="10034" spans="1:2" x14ac:dyDescent="0.2">
      <c r="A10034" t="str">
        <f>"MSL2"</f>
        <v>MSL2</v>
      </c>
      <c r="B10034" t="s">
        <v>8</v>
      </c>
    </row>
    <row r="10035" spans="1:2" x14ac:dyDescent="0.2">
      <c r="A10035" t="str">
        <f>"MSL3"</f>
        <v>MSL3</v>
      </c>
      <c r="B10035" t="s">
        <v>2</v>
      </c>
    </row>
    <row r="10036" spans="1:2" x14ac:dyDescent="0.2">
      <c r="A10036" t="str">
        <f>"MSLN"</f>
        <v>MSLN</v>
      </c>
      <c r="B10036" t="s">
        <v>3</v>
      </c>
    </row>
    <row r="10037" spans="1:2" x14ac:dyDescent="0.2">
      <c r="A10037" t="str">
        <f>"MSMB"</f>
        <v>MSMB</v>
      </c>
      <c r="B10037" t="s">
        <v>4</v>
      </c>
    </row>
    <row r="10038" spans="1:2" x14ac:dyDescent="0.2">
      <c r="A10038" t="str">
        <f>"MSMO1"</f>
        <v>MSMO1</v>
      </c>
      <c r="B10038" t="s">
        <v>6</v>
      </c>
    </row>
    <row r="10039" spans="1:2" x14ac:dyDescent="0.2">
      <c r="A10039" t="str">
        <f>"MSMP"</f>
        <v>MSMP</v>
      </c>
      <c r="B10039" t="s">
        <v>4</v>
      </c>
    </row>
    <row r="10040" spans="1:2" x14ac:dyDescent="0.2">
      <c r="A10040" t="str">
        <f>"MSN"</f>
        <v>MSN</v>
      </c>
      <c r="B10040" t="s">
        <v>3</v>
      </c>
    </row>
    <row r="10041" spans="1:2" x14ac:dyDescent="0.2">
      <c r="A10041" t="str">
        <f>"MSR1"</f>
        <v>MSR1</v>
      </c>
      <c r="B10041" t="s">
        <v>2</v>
      </c>
    </row>
    <row r="10042" spans="1:2" x14ac:dyDescent="0.2">
      <c r="A10042" t="str">
        <f>"MSRA"</f>
        <v>MSRA</v>
      </c>
      <c r="B10042" t="s">
        <v>7</v>
      </c>
    </row>
    <row r="10043" spans="1:2" x14ac:dyDescent="0.2">
      <c r="A10043" t="str">
        <f>"MSRB1"</f>
        <v>MSRB1</v>
      </c>
      <c r="B10043" t="s">
        <v>4</v>
      </c>
    </row>
    <row r="10044" spans="1:2" x14ac:dyDescent="0.2">
      <c r="A10044" t="str">
        <f>"MSRB2"</f>
        <v>MSRB2</v>
      </c>
      <c r="B10044" t="s">
        <v>6</v>
      </c>
    </row>
    <row r="10045" spans="1:2" x14ac:dyDescent="0.2">
      <c r="A10045" t="str">
        <f>"MSRB3"</f>
        <v>MSRB3</v>
      </c>
      <c r="B10045" t="s">
        <v>2</v>
      </c>
    </row>
    <row r="10046" spans="1:2" x14ac:dyDescent="0.2">
      <c r="A10046" t="str">
        <f>"MSS51"</f>
        <v>MSS51</v>
      </c>
      <c r="B10046" t="s">
        <v>4</v>
      </c>
    </row>
    <row r="10047" spans="1:2" x14ac:dyDescent="0.2">
      <c r="A10047" t="str">
        <f>"MST1"</f>
        <v>MST1</v>
      </c>
      <c r="B10047" t="s">
        <v>3</v>
      </c>
    </row>
    <row r="10048" spans="1:2" x14ac:dyDescent="0.2">
      <c r="A10048" t="str">
        <f>"MST1R"</f>
        <v>MST1R</v>
      </c>
      <c r="B10048" t="s">
        <v>7</v>
      </c>
    </row>
    <row r="10049" spans="1:2" x14ac:dyDescent="0.2">
      <c r="A10049" t="str">
        <f>"MST4"</f>
        <v>MST4</v>
      </c>
      <c r="B10049" t="s">
        <v>7</v>
      </c>
    </row>
    <row r="10050" spans="1:2" x14ac:dyDescent="0.2">
      <c r="A10050" t="str">
        <f>"MSTN"</f>
        <v>MSTN</v>
      </c>
      <c r="B10050" t="s">
        <v>2</v>
      </c>
    </row>
    <row r="10051" spans="1:2" x14ac:dyDescent="0.2">
      <c r="A10051" t="str">
        <f>"MSTO1"</f>
        <v>MSTO1</v>
      </c>
      <c r="B10051" t="s">
        <v>2</v>
      </c>
    </row>
    <row r="10052" spans="1:2" x14ac:dyDescent="0.2">
      <c r="A10052" t="str">
        <f>"MSX1"</f>
        <v>MSX1</v>
      </c>
      <c r="B10052" t="s">
        <v>8</v>
      </c>
    </row>
    <row r="10053" spans="1:2" x14ac:dyDescent="0.2">
      <c r="A10053" t="str">
        <f>"MSX2"</f>
        <v>MSX2</v>
      </c>
      <c r="B10053" t="s">
        <v>8</v>
      </c>
    </row>
    <row r="10054" spans="1:2" x14ac:dyDescent="0.2">
      <c r="A10054" t="str">
        <f>"MT1A"</f>
        <v>MT1A</v>
      </c>
      <c r="B10054" t="s">
        <v>4</v>
      </c>
    </row>
    <row r="10055" spans="1:2" x14ac:dyDescent="0.2">
      <c r="A10055" t="str">
        <f>"MT1B"</f>
        <v>MT1B</v>
      </c>
      <c r="B10055" t="s">
        <v>4</v>
      </c>
    </row>
    <row r="10056" spans="1:2" x14ac:dyDescent="0.2">
      <c r="A10056" t="str">
        <f>"MT1E"</f>
        <v>MT1E</v>
      </c>
      <c r="B10056" t="s">
        <v>2</v>
      </c>
    </row>
    <row r="10057" spans="1:2" x14ac:dyDescent="0.2">
      <c r="A10057" t="str">
        <f>"MT1F"</f>
        <v>MT1F</v>
      </c>
      <c r="B10057" t="s">
        <v>4</v>
      </c>
    </row>
    <row r="10058" spans="1:2" x14ac:dyDescent="0.2">
      <c r="A10058" t="str">
        <f>"MT1G"</f>
        <v>MT1G</v>
      </c>
      <c r="B10058" t="s">
        <v>3</v>
      </c>
    </row>
    <row r="10059" spans="1:2" x14ac:dyDescent="0.2">
      <c r="A10059" t="str">
        <f>"MT1H"</f>
        <v>MT1H</v>
      </c>
      <c r="B10059" t="s">
        <v>3</v>
      </c>
    </row>
    <row r="10060" spans="1:2" x14ac:dyDescent="0.2">
      <c r="A10060" t="str">
        <f>"MT1HL1"</f>
        <v>MT1HL1</v>
      </c>
      <c r="B10060" t="s">
        <v>4</v>
      </c>
    </row>
    <row r="10061" spans="1:2" x14ac:dyDescent="0.2">
      <c r="A10061" t="str">
        <f>"MT1M"</f>
        <v>MT1M</v>
      </c>
      <c r="B10061" t="s">
        <v>4</v>
      </c>
    </row>
    <row r="10062" spans="1:2" x14ac:dyDescent="0.2">
      <c r="A10062" t="str">
        <f>"MT1X"</f>
        <v>MT1X</v>
      </c>
      <c r="B10062" t="s">
        <v>6</v>
      </c>
    </row>
    <row r="10063" spans="1:2" x14ac:dyDescent="0.2">
      <c r="A10063" t="str">
        <f>"MT2A"</f>
        <v>MT2A</v>
      </c>
      <c r="B10063" t="s">
        <v>3</v>
      </c>
    </row>
    <row r="10064" spans="1:2" x14ac:dyDescent="0.2">
      <c r="A10064" t="str">
        <f>"MT3"</f>
        <v>MT3</v>
      </c>
      <c r="B10064" t="s">
        <v>2</v>
      </c>
    </row>
    <row r="10065" spans="1:2" x14ac:dyDescent="0.2">
      <c r="A10065" t="str">
        <f>"MT4"</f>
        <v>MT4</v>
      </c>
      <c r="B10065" t="s">
        <v>4</v>
      </c>
    </row>
    <row r="10066" spans="1:2" x14ac:dyDescent="0.2">
      <c r="A10066" t="str">
        <f>"MTA1"</f>
        <v>MTA1</v>
      </c>
      <c r="B10066" t="s">
        <v>8</v>
      </c>
    </row>
    <row r="10067" spans="1:2" x14ac:dyDescent="0.2">
      <c r="A10067" t="str">
        <f>"MTA2"</f>
        <v>MTA2</v>
      </c>
      <c r="B10067" t="s">
        <v>8</v>
      </c>
    </row>
    <row r="10068" spans="1:2" x14ac:dyDescent="0.2">
      <c r="A10068" t="str">
        <f>"MTA3"</f>
        <v>MTA3</v>
      </c>
      <c r="B10068" t="s">
        <v>8</v>
      </c>
    </row>
    <row r="10069" spans="1:2" x14ac:dyDescent="0.2">
      <c r="A10069" t="str">
        <f>"MTAP"</f>
        <v>MTAP</v>
      </c>
      <c r="B10069" t="s">
        <v>7</v>
      </c>
    </row>
    <row r="10070" spans="1:2" x14ac:dyDescent="0.2">
      <c r="A10070" t="str">
        <f>"MTBP"</f>
        <v>MTBP</v>
      </c>
      <c r="B10070" t="s">
        <v>3</v>
      </c>
    </row>
    <row r="10071" spans="1:2" x14ac:dyDescent="0.2">
      <c r="A10071" t="str">
        <f>"MTCH1"</f>
        <v>MTCH1</v>
      </c>
      <c r="B10071" t="s">
        <v>3</v>
      </c>
    </row>
    <row r="10072" spans="1:2" x14ac:dyDescent="0.2">
      <c r="A10072" t="str">
        <f>"MTCH2"</f>
        <v>MTCH2</v>
      </c>
      <c r="B10072" t="s">
        <v>2</v>
      </c>
    </row>
    <row r="10073" spans="1:2" x14ac:dyDescent="0.2">
      <c r="A10073" t="str">
        <f>"MTCP1"</f>
        <v>MTCP1</v>
      </c>
      <c r="B10073" t="s">
        <v>3</v>
      </c>
    </row>
    <row r="10074" spans="1:2" x14ac:dyDescent="0.2">
      <c r="A10074" t="str">
        <f>"MTDH"</f>
        <v>MTDH</v>
      </c>
      <c r="B10074" t="s">
        <v>6</v>
      </c>
    </row>
    <row r="10075" spans="1:2" x14ac:dyDescent="0.2">
      <c r="A10075" t="str">
        <f>"MTERF"</f>
        <v>MTERF</v>
      </c>
      <c r="B10075" t="s">
        <v>6</v>
      </c>
    </row>
    <row r="10076" spans="1:2" x14ac:dyDescent="0.2">
      <c r="A10076" t="str">
        <f>"MTERFD1"</f>
        <v>MTERFD1</v>
      </c>
      <c r="B10076" t="s">
        <v>6</v>
      </c>
    </row>
    <row r="10077" spans="1:2" x14ac:dyDescent="0.2">
      <c r="A10077" t="str">
        <f>"MTERFD2"</f>
        <v>MTERFD2</v>
      </c>
      <c r="B10077" t="s">
        <v>6</v>
      </c>
    </row>
    <row r="10078" spans="1:2" x14ac:dyDescent="0.2">
      <c r="A10078" t="str">
        <f>"MTERFD3"</f>
        <v>MTERFD3</v>
      </c>
      <c r="B10078" t="s">
        <v>6</v>
      </c>
    </row>
    <row r="10079" spans="1:2" x14ac:dyDescent="0.2">
      <c r="A10079" t="str">
        <f>"MTF1"</f>
        <v>MTF1</v>
      </c>
      <c r="B10079" t="s">
        <v>8</v>
      </c>
    </row>
    <row r="10080" spans="1:2" x14ac:dyDescent="0.2">
      <c r="A10080" t="str">
        <f>"MTF2"</f>
        <v>MTF2</v>
      </c>
      <c r="B10080" t="s">
        <v>8</v>
      </c>
    </row>
    <row r="10081" spans="1:2" x14ac:dyDescent="0.2">
      <c r="A10081" t="str">
        <f>"MTFMT"</f>
        <v>MTFMT</v>
      </c>
      <c r="B10081" t="s">
        <v>7</v>
      </c>
    </row>
    <row r="10082" spans="1:2" x14ac:dyDescent="0.2">
      <c r="A10082" t="str">
        <f>"MTFP1"</f>
        <v>MTFP1</v>
      </c>
      <c r="B10082" t="s">
        <v>6</v>
      </c>
    </row>
    <row r="10083" spans="1:2" x14ac:dyDescent="0.2">
      <c r="A10083" t="str">
        <f>"MTFR1"</f>
        <v>MTFR1</v>
      </c>
      <c r="B10083" t="s">
        <v>6</v>
      </c>
    </row>
    <row r="10084" spans="1:2" x14ac:dyDescent="0.2">
      <c r="A10084" t="str">
        <f>"MTFR1L"</f>
        <v>MTFR1L</v>
      </c>
      <c r="B10084" t="s">
        <v>4</v>
      </c>
    </row>
    <row r="10085" spans="1:2" x14ac:dyDescent="0.2">
      <c r="A10085" t="str">
        <f>"MTFR2"</f>
        <v>MTFR2</v>
      </c>
      <c r="B10085" t="s">
        <v>6</v>
      </c>
    </row>
    <row r="10086" spans="1:2" x14ac:dyDescent="0.2">
      <c r="A10086" t="str">
        <f>"MTG1"</f>
        <v>MTG1</v>
      </c>
      <c r="B10086" t="s">
        <v>6</v>
      </c>
    </row>
    <row r="10087" spans="1:2" x14ac:dyDescent="0.2">
      <c r="A10087" t="str">
        <f>"MTG2"</f>
        <v>MTG2</v>
      </c>
      <c r="B10087" t="s">
        <v>4</v>
      </c>
    </row>
    <row r="10088" spans="1:2" x14ac:dyDescent="0.2">
      <c r="A10088" t="str">
        <f>"MTHFD1"</f>
        <v>MTHFD1</v>
      </c>
      <c r="B10088" t="s">
        <v>3</v>
      </c>
    </row>
    <row r="10089" spans="1:2" x14ac:dyDescent="0.2">
      <c r="A10089" t="str">
        <f>"MTHFD1L"</f>
        <v>MTHFD1L</v>
      </c>
      <c r="B10089" t="s">
        <v>6</v>
      </c>
    </row>
    <row r="10090" spans="1:2" x14ac:dyDescent="0.2">
      <c r="A10090" t="str">
        <f>"MTHFD2"</f>
        <v>MTHFD2</v>
      </c>
      <c r="B10090" t="s">
        <v>7</v>
      </c>
    </row>
    <row r="10091" spans="1:2" x14ac:dyDescent="0.2">
      <c r="A10091" t="str">
        <f>"MTHFD2L"</f>
        <v>MTHFD2L</v>
      </c>
      <c r="B10091" t="s">
        <v>6</v>
      </c>
    </row>
    <row r="10092" spans="1:2" x14ac:dyDescent="0.2">
      <c r="A10092" t="str">
        <f>"MTHFR"</f>
        <v>MTHFR</v>
      </c>
      <c r="B10092" t="s">
        <v>3</v>
      </c>
    </row>
    <row r="10093" spans="1:2" x14ac:dyDescent="0.2">
      <c r="A10093" t="str">
        <f>"MTHFS"</f>
        <v>MTHFS</v>
      </c>
      <c r="B10093" t="s">
        <v>6</v>
      </c>
    </row>
    <row r="10094" spans="1:2" x14ac:dyDescent="0.2">
      <c r="A10094" t="str">
        <f>"MTHFSD"</f>
        <v>MTHFSD</v>
      </c>
      <c r="B10094" t="s">
        <v>8</v>
      </c>
    </row>
    <row r="10095" spans="1:2" x14ac:dyDescent="0.2">
      <c r="A10095" t="str">
        <f>"MTIF2"</f>
        <v>MTIF2</v>
      </c>
      <c r="B10095" t="s">
        <v>6</v>
      </c>
    </row>
    <row r="10096" spans="1:2" x14ac:dyDescent="0.2">
      <c r="A10096" t="str">
        <f>"MTIF3"</f>
        <v>MTIF3</v>
      </c>
      <c r="B10096" t="s">
        <v>6</v>
      </c>
    </row>
    <row r="10097" spans="1:2" x14ac:dyDescent="0.2">
      <c r="A10097" t="str">
        <f>"MTL5"</f>
        <v>MTL5</v>
      </c>
      <c r="B10097" t="s">
        <v>3</v>
      </c>
    </row>
    <row r="10098" spans="1:2" x14ac:dyDescent="0.2">
      <c r="A10098" t="str">
        <f>"MTM1"</f>
        <v>MTM1</v>
      </c>
      <c r="B10098" t="s">
        <v>7</v>
      </c>
    </row>
    <row r="10099" spans="1:2" x14ac:dyDescent="0.2">
      <c r="A10099" t="str">
        <f>"MTMR1"</f>
        <v>MTMR1</v>
      </c>
      <c r="B10099" t="s">
        <v>7</v>
      </c>
    </row>
    <row r="10100" spans="1:2" x14ac:dyDescent="0.2">
      <c r="A10100" t="str">
        <f>"MTMR10"</f>
        <v>MTMR10</v>
      </c>
      <c r="B10100" t="s">
        <v>7</v>
      </c>
    </row>
    <row r="10101" spans="1:2" x14ac:dyDescent="0.2">
      <c r="A10101" t="str">
        <f>"MTMR11"</f>
        <v>MTMR11</v>
      </c>
      <c r="B10101" t="s">
        <v>7</v>
      </c>
    </row>
    <row r="10102" spans="1:2" x14ac:dyDescent="0.2">
      <c r="A10102" t="str">
        <f>"MTMR12"</f>
        <v>MTMR12</v>
      </c>
      <c r="B10102" t="s">
        <v>7</v>
      </c>
    </row>
    <row r="10103" spans="1:2" x14ac:dyDescent="0.2">
      <c r="A10103" t="str">
        <f>"MTMR14"</f>
        <v>MTMR14</v>
      </c>
      <c r="B10103" t="s">
        <v>7</v>
      </c>
    </row>
    <row r="10104" spans="1:2" x14ac:dyDescent="0.2">
      <c r="A10104" t="str">
        <f>"MTMR2"</f>
        <v>MTMR2</v>
      </c>
      <c r="B10104" t="s">
        <v>7</v>
      </c>
    </row>
    <row r="10105" spans="1:2" x14ac:dyDescent="0.2">
      <c r="A10105" t="str">
        <f>"MTMR3"</f>
        <v>MTMR3</v>
      </c>
      <c r="B10105" t="s">
        <v>7</v>
      </c>
    </row>
    <row r="10106" spans="1:2" x14ac:dyDescent="0.2">
      <c r="A10106" t="str">
        <f>"MTMR4"</f>
        <v>MTMR4</v>
      </c>
      <c r="B10106" t="s">
        <v>7</v>
      </c>
    </row>
    <row r="10107" spans="1:2" x14ac:dyDescent="0.2">
      <c r="A10107" t="str">
        <f>"MTMR6"</f>
        <v>MTMR6</v>
      </c>
      <c r="B10107" t="s">
        <v>7</v>
      </c>
    </row>
    <row r="10108" spans="1:2" x14ac:dyDescent="0.2">
      <c r="A10108" t="str">
        <f>"MTMR7"</f>
        <v>MTMR7</v>
      </c>
      <c r="B10108" t="s">
        <v>7</v>
      </c>
    </row>
    <row r="10109" spans="1:2" x14ac:dyDescent="0.2">
      <c r="A10109" t="str">
        <f>"MTMR8"</f>
        <v>MTMR8</v>
      </c>
      <c r="B10109" t="s">
        <v>7</v>
      </c>
    </row>
    <row r="10110" spans="1:2" x14ac:dyDescent="0.2">
      <c r="A10110" t="str">
        <f>"MTMR9"</f>
        <v>MTMR9</v>
      </c>
      <c r="B10110" t="s">
        <v>7</v>
      </c>
    </row>
    <row r="10111" spans="1:2" x14ac:dyDescent="0.2">
      <c r="A10111" t="str">
        <f>"MTNR1A"</f>
        <v>MTNR1A</v>
      </c>
      <c r="B10111" t="s">
        <v>7</v>
      </c>
    </row>
    <row r="10112" spans="1:2" x14ac:dyDescent="0.2">
      <c r="A10112" t="str">
        <f>"MTNR1B"</f>
        <v>MTNR1B</v>
      </c>
      <c r="B10112" t="s">
        <v>7</v>
      </c>
    </row>
    <row r="10113" spans="1:2" x14ac:dyDescent="0.2">
      <c r="A10113" t="str">
        <f>"MTO1"</f>
        <v>MTO1</v>
      </c>
      <c r="B10113" t="s">
        <v>6</v>
      </c>
    </row>
    <row r="10114" spans="1:2" x14ac:dyDescent="0.2">
      <c r="A10114" t="str">
        <f>"MTOR"</f>
        <v>MTOR</v>
      </c>
      <c r="B10114" t="s">
        <v>7</v>
      </c>
    </row>
    <row r="10115" spans="1:2" x14ac:dyDescent="0.2">
      <c r="A10115" t="str">
        <f>"MTPAP"</f>
        <v>MTPAP</v>
      </c>
      <c r="B10115" t="s">
        <v>6</v>
      </c>
    </row>
    <row r="10116" spans="1:2" x14ac:dyDescent="0.2">
      <c r="A10116" t="str">
        <f>"MTPN"</f>
        <v>MTPN</v>
      </c>
      <c r="B10116" t="s">
        <v>8</v>
      </c>
    </row>
    <row r="10117" spans="1:2" x14ac:dyDescent="0.2">
      <c r="A10117" t="str">
        <f>"MTR"</f>
        <v>MTR</v>
      </c>
      <c r="B10117" t="s">
        <v>7</v>
      </c>
    </row>
    <row r="10118" spans="1:2" x14ac:dyDescent="0.2">
      <c r="A10118" t="str">
        <f>"MTRF1"</f>
        <v>MTRF1</v>
      </c>
      <c r="B10118" t="s">
        <v>6</v>
      </c>
    </row>
    <row r="10119" spans="1:2" x14ac:dyDescent="0.2">
      <c r="A10119" t="str">
        <f>"MTRF1L"</f>
        <v>MTRF1L</v>
      </c>
      <c r="B10119" t="s">
        <v>6</v>
      </c>
    </row>
    <row r="10120" spans="1:2" x14ac:dyDescent="0.2">
      <c r="A10120" t="str">
        <f>"MTRNR2L1"</f>
        <v>MTRNR2L1</v>
      </c>
      <c r="B10120" t="s">
        <v>4</v>
      </c>
    </row>
    <row r="10121" spans="1:2" x14ac:dyDescent="0.2">
      <c r="A10121" t="str">
        <f>"MTRNR2L10"</f>
        <v>MTRNR2L10</v>
      </c>
      <c r="B10121" t="s">
        <v>4</v>
      </c>
    </row>
    <row r="10122" spans="1:2" x14ac:dyDescent="0.2">
      <c r="A10122" t="str">
        <f>"MTRNR2L2"</f>
        <v>MTRNR2L2</v>
      </c>
      <c r="B10122" t="s">
        <v>4</v>
      </c>
    </row>
    <row r="10123" spans="1:2" x14ac:dyDescent="0.2">
      <c r="A10123" t="str">
        <f>"MTRNR2L3"</f>
        <v>MTRNR2L3</v>
      </c>
      <c r="B10123" t="s">
        <v>4</v>
      </c>
    </row>
    <row r="10124" spans="1:2" x14ac:dyDescent="0.2">
      <c r="A10124" t="str">
        <f>"MTRNR2L5"</f>
        <v>MTRNR2L5</v>
      </c>
      <c r="B10124" t="s">
        <v>4</v>
      </c>
    </row>
    <row r="10125" spans="1:2" x14ac:dyDescent="0.2">
      <c r="A10125" t="str">
        <f>"MTRNR2L6"</f>
        <v>MTRNR2L6</v>
      </c>
      <c r="B10125" t="s">
        <v>4</v>
      </c>
    </row>
    <row r="10126" spans="1:2" x14ac:dyDescent="0.2">
      <c r="A10126" t="str">
        <f>"MTRNR2L7"</f>
        <v>MTRNR2L7</v>
      </c>
      <c r="B10126" t="s">
        <v>4</v>
      </c>
    </row>
    <row r="10127" spans="1:2" x14ac:dyDescent="0.2">
      <c r="A10127" t="str">
        <f>"MTRNR2L8"</f>
        <v>MTRNR2L8</v>
      </c>
      <c r="B10127" t="s">
        <v>4</v>
      </c>
    </row>
    <row r="10128" spans="1:2" x14ac:dyDescent="0.2">
      <c r="A10128" t="str">
        <f>"MTRR"</f>
        <v>MTRR</v>
      </c>
      <c r="B10128" t="s">
        <v>7</v>
      </c>
    </row>
    <row r="10129" spans="1:2" x14ac:dyDescent="0.2">
      <c r="A10129" t="str">
        <f>"MTSS1"</f>
        <v>MTSS1</v>
      </c>
      <c r="B10129" t="s">
        <v>3</v>
      </c>
    </row>
    <row r="10130" spans="1:2" x14ac:dyDescent="0.2">
      <c r="A10130" t="str">
        <f>"MTSS1L"</f>
        <v>MTSS1L</v>
      </c>
      <c r="B10130" t="s">
        <v>4</v>
      </c>
    </row>
    <row r="10131" spans="1:2" x14ac:dyDescent="0.2">
      <c r="A10131" t="str">
        <f>"MTTP"</f>
        <v>MTTP</v>
      </c>
      <c r="B10131" t="s">
        <v>7</v>
      </c>
    </row>
    <row r="10132" spans="1:2" x14ac:dyDescent="0.2">
      <c r="A10132" t="str">
        <f>"MTUS1"</f>
        <v>MTUS1</v>
      </c>
      <c r="B10132" t="s">
        <v>3</v>
      </c>
    </row>
    <row r="10133" spans="1:2" x14ac:dyDescent="0.2">
      <c r="A10133" t="str">
        <f>"MTUS2"</f>
        <v>MTUS2</v>
      </c>
      <c r="B10133" t="s">
        <v>3</v>
      </c>
    </row>
    <row r="10134" spans="1:2" x14ac:dyDescent="0.2">
      <c r="A10134" t="str">
        <f>"MTX1"</f>
        <v>MTX1</v>
      </c>
      <c r="B10134" t="s">
        <v>6</v>
      </c>
    </row>
    <row r="10135" spans="1:2" x14ac:dyDescent="0.2">
      <c r="A10135" t="str">
        <f>"MTX2"</f>
        <v>MTX2</v>
      </c>
      <c r="B10135" t="s">
        <v>6</v>
      </c>
    </row>
    <row r="10136" spans="1:2" x14ac:dyDescent="0.2">
      <c r="A10136" t="str">
        <f>"MTX3"</f>
        <v>MTX3</v>
      </c>
      <c r="B10136" t="s">
        <v>6</v>
      </c>
    </row>
    <row r="10137" spans="1:2" x14ac:dyDescent="0.2">
      <c r="A10137" t="str">
        <f>"MUC1"</f>
        <v>MUC1</v>
      </c>
      <c r="B10137" t="s">
        <v>3</v>
      </c>
    </row>
    <row r="10138" spans="1:2" x14ac:dyDescent="0.2">
      <c r="A10138" t="str">
        <f>"MUC12"</f>
        <v>MUC12</v>
      </c>
      <c r="B10138" t="s">
        <v>5</v>
      </c>
    </row>
    <row r="10139" spans="1:2" x14ac:dyDescent="0.2">
      <c r="A10139" t="str">
        <f>"MUC13"</f>
        <v>MUC13</v>
      </c>
      <c r="B10139" t="s">
        <v>5</v>
      </c>
    </row>
    <row r="10140" spans="1:2" x14ac:dyDescent="0.2">
      <c r="A10140" t="str">
        <f>"MUC15"</f>
        <v>MUC15</v>
      </c>
      <c r="B10140" t="s">
        <v>5</v>
      </c>
    </row>
    <row r="10141" spans="1:2" x14ac:dyDescent="0.2">
      <c r="A10141" t="str">
        <f>"MUC16"</f>
        <v>MUC16</v>
      </c>
      <c r="B10141" t="s">
        <v>2</v>
      </c>
    </row>
    <row r="10142" spans="1:2" x14ac:dyDescent="0.2">
      <c r="A10142" t="str">
        <f>"MUC17"</f>
        <v>MUC17</v>
      </c>
      <c r="B10142" t="s">
        <v>4</v>
      </c>
    </row>
    <row r="10143" spans="1:2" x14ac:dyDescent="0.2">
      <c r="A10143" t="str">
        <f>"MUC19"</f>
        <v>MUC19</v>
      </c>
      <c r="B10143" t="s">
        <v>4</v>
      </c>
    </row>
    <row r="10144" spans="1:2" x14ac:dyDescent="0.2">
      <c r="A10144" t="str">
        <f>"MUC2"</f>
        <v>MUC2</v>
      </c>
      <c r="B10144" t="s">
        <v>7</v>
      </c>
    </row>
    <row r="10145" spans="1:2" x14ac:dyDescent="0.2">
      <c r="A10145" t="str">
        <f>"MUC20"</f>
        <v>MUC20</v>
      </c>
      <c r="B10145" t="s">
        <v>2</v>
      </c>
    </row>
    <row r="10146" spans="1:2" x14ac:dyDescent="0.2">
      <c r="A10146" t="str">
        <f>"MUC21"</f>
        <v>MUC21</v>
      </c>
      <c r="B10146" t="s">
        <v>5</v>
      </c>
    </row>
    <row r="10147" spans="1:2" x14ac:dyDescent="0.2">
      <c r="A10147" t="str">
        <f>"MUC22"</f>
        <v>MUC22</v>
      </c>
      <c r="B10147" t="s">
        <v>4</v>
      </c>
    </row>
    <row r="10148" spans="1:2" x14ac:dyDescent="0.2">
      <c r="A10148" t="str">
        <f>"MUC3A"</f>
        <v>MUC3A</v>
      </c>
      <c r="B10148" t="s">
        <v>4</v>
      </c>
    </row>
    <row r="10149" spans="1:2" x14ac:dyDescent="0.2">
      <c r="A10149" t="str">
        <f>"MUC4"</f>
        <v>MUC4</v>
      </c>
      <c r="B10149" t="s">
        <v>5</v>
      </c>
    </row>
    <row r="10150" spans="1:2" x14ac:dyDescent="0.2">
      <c r="A10150" t="str">
        <f>"MUC5AC"</f>
        <v>MUC5AC</v>
      </c>
      <c r="B10150" t="s">
        <v>3</v>
      </c>
    </row>
    <row r="10151" spans="1:2" x14ac:dyDescent="0.2">
      <c r="A10151" t="str">
        <f>"MUC5B"</f>
        <v>MUC5B</v>
      </c>
      <c r="B10151" t="s">
        <v>4</v>
      </c>
    </row>
    <row r="10152" spans="1:2" x14ac:dyDescent="0.2">
      <c r="A10152" t="str">
        <f>"MUC6"</f>
        <v>MUC6</v>
      </c>
      <c r="B10152" t="s">
        <v>4</v>
      </c>
    </row>
    <row r="10153" spans="1:2" x14ac:dyDescent="0.2">
      <c r="A10153" t="str">
        <f>"MUC7"</f>
        <v>MUC7</v>
      </c>
      <c r="B10153" t="s">
        <v>4</v>
      </c>
    </row>
    <row r="10154" spans="1:2" x14ac:dyDescent="0.2">
      <c r="A10154" t="str">
        <f>"MUC8"</f>
        <v>MUC8</v>
      </c>
      <c r="B10154" t="s">
        <v>4</v>
      </c>
    </row>
    <row r="10155" spans="1:2" x14ac:dyDescent="0.2">
      <c r="A10155" t="str">
        <f>"MUCL1"</f>
        <v>MUCL1</v>
      </c>
      <c r="B10155" t="s">
        <v>6</v>
      </c>
    </row>
    <row r="10156" spans="1:2" x14ac:dyDescent="0.2">
      <c r="A10156" t="str">
        <f>"MUL1"</f>
        <v>MUL1</v>
      </c>
      <c r="B10156" t="s">
        <v>2</v>
      </c>
    </row>
    <row r="10157" spans="1:2" x14ac:dyDescent="0.2">
      <c r="A10157" t="str">
        <f>"MUM1"</f>
        <v>MUM1</v>
      </c>
      <c r="B10157" t="s">
        <v>3</v>
      </c>
    </row>
    <row r="10158" spans="1:2" x14ac:dyDescent="0.2">
      <c r="A10158" t="str">
        <f>"MUM1L1"</f>
        <v>MUM1L1</v>
      </c>
      <c r="B10158" t="s">
        <v>3</v>
      </c>
    </row>
    <row r="10159" spans="1:2" x14ac:dyDescent="0.2">
      <c r="A10159" t="str">
        <f>"MURC"</f>
        <v>MURC</v>
      </c>
      <c r="B10159" t="s">
        <v>7</v>
      </c>
    </row>
    <row r="10160" spans="1:2" x14ac:dyDescent="0.2">
      <c r="A10160" t="str">
        <f>"MUS81"</f>
        <v>MUS81</v>
      </c>
      <c r="B10160" t="s">
        <v>3</v>
      </c>
    </row>
    <row r="10161" spans="1:2" x14ac:dyDescent="0.2">
      <c r="A10161" t="str">
        <f>"MUSK"</f>
        <v>MUSK</v>
      </c>
      <c r="B10161" t="s">
        <v>7</v>
      </c>
    </row>
    <row r="10162" spans="1:2" x14ac:dyDescent="0.2">
      <c r="A10162" t="str">
        <f>"MUSTN1"</f>
        <v>MUSTN1</v>
      </c>
      <c r="B10162" t="s">
        <v>4</v>
      </c>
    </row>
    <row r="10163" spans="1:2" x14ac:dyDescent="0.2">
      <c r="A10163" t="str">
        <f>"MUT"</f>
        <v>MUT</v>
      </c>
      <c r="B10163" t="s">
        <v>7</v>
      </c>
    </row>
    <row r="10164" spans="1:2" x14ac:dyDescent="0.2">
      <c r="A10164" t="str">
        <f>"MUTYH"</f>
        <v>MUTYH</v>
      </c>
      <c r="B10164" t="s">
        <v>3</v>
      </c>
    </row>
    <row r="10165" spans="1:2" x14ac:dyDescent="0.2">
      <c r="A10165" t="str">
        <f>"MVB12A"</f>
        <v>MVB12A</v>
      </c>
      <c r="B10165" t="s">
        <v>4</v>
      </c>
    </row>
    <row r="10166" spans="1:2" x14ac:dyDescent="0.2">
      <c r="A10166" t="str">
        <f>"MVB12B"</f>
        <v>MVB12B</v>
      </c>
      <c r="B10166" t="s">
        <v>4</v>
      </c>
    </row>
    <row r="10167" spans="1:2" x14ac:dyDescent="0.2">
      <c r="A10167" t="str">
        <f>"MVD"</f>
        <v>MVD</v>
      </c>
      <c r="B10167" t="s">
        <v>2</v>
      </c>
    </row>
    <row r="10168" spans="1:2" x14ac:dyDescent="0.2">
      <c r="A10168" t="str">
        <f>"MVK"</f>
        <v>MVK</v>
      </c>
      <c r="B10168" t="s">
        <v>7</v>
      </c>
    </row>
    <row r="10169" spans="1:2" x14ac:dyDescent="0.2">
      <c r="A10169" t="str">
        <f>"MVP"</f>
        <v>MVP</v>
      </c>
      <c r="B10169" t="s">
        <v>6</v>
      </c>
    </row>
    <row r="10170" spans="1:2" x14ac:dyDescent="0.2">
      <c r="A10170" t="str">
        <f>"MX1"</f>
        <v>MX1</v>
      </c>
      <c r="B10170" t="s">
        <v>3</v>
      </c>
    </row>
    <row r="10171" spans="1:2" x14ac:dyDescent="0.2">
      <c r="A10171" t="str">
        <f>"MX2"</f>
        <v>MX2</v>
      </c>
      <c r="B10171" t="s">
        <v>3</v>
      </c>
    </row>
    <row r="10172" spans="1:2" x14ac:dyDescent="0.2">
      <c r="A10172" t="str">
        <f>"MXD1"</f>
        <v>MXD1</v>
      </c>
      <c r="B10172" t="s">
        <v>6</v>
      </c>
    </row>
    <row r="10173" spans="1:2" x14ac:dyDescent="0.2">
      <c r="A10173" t="str">
        <f>"MXD3"</f>
        <v>MXD3</v>
      </c>
      <c r="B10173" t="s">
        <v>8</v>
      </c>
    </row>
    <row r="10174" spans="1:2" x14ac:dyDescent="0.2">
      <c r="A10174" t="str">
        <f>"MXD4"</f>
        <v>MXD4</v>
      </c>
      <c r="B10174" t="s">
        <v>8</v>
      </c>
    </row>
    <row r="10175" spans="1:2" x14ac:dyDescent="0.2">
      <c r="A10175" t="str">
        <f>"MXI1"</f>
        <v>MXI1</v>
      </c>
      <c r="B10175" t="s">
        <v>8</v>
      </c>
    </row>
    <row r="10176" spans="1:2" x14ac:dyDescent="0.2">
      <c r="A10176" t="str">
        <f>"MXRA5"</f>
        <v>MXRA5</v>
      </c>
      <c r="B10176" t="s">
        <v>3</v>
      </c>
    </row>
    <row r="10177" spans="1:2" x14ac:dyDescent="0.2">
      <c r="A10177" t="str">
        <f>"MXRA7"</f>
        <v>MXRA7</v>
      </c>
      <c r="B10177" t="s">
        <v>4</v>
      </c>
    </row>
    <row r="10178" spans="1:2" x14ac:dyDescent="0.2">
      <c r="A10178" t="str">
        <f>"MXRA8"</f>
        <v>MXRA8</v>
      </c>
      <c r="B10178" t="s">
        <v>5</v>
      </c>
    </row>
    <row r="10179" spans="1:2" x14ac:dyDescent="0.2">
      <c r="A10179" t="str">
        <f>"MYADM"</f>
        <v>MYADM</v>
      </c>
      <c r="B10179" t="s">
        <v>5</v>
      </c>
    </row>
    <row r="10180" spans="1:2" x14ac:dyDescent="0.2">
      <c r="A10180" t="str">
        <f>"MYADML2"</f>
        <v>MYADML2</v>
      </c>
      <c r="B10180" t="s">
        <v>6</v>
      </c>
    </row>
    <row r="10181" spans="1:2" x14ac:dyDescent="0.2">
      <c r="A10181" t="str">
        <f>"MYB"</f>
        <v>MYB</v>
      </c>
      <c r="B10181" t="s">
        <v>3</v>
      </c>
    </row>
    <row r="10182" spans="1:2" x14ac:dyDescent="0.2">
      <c r="A10182" t="str">
        <f>"MYBBP1A"</f>
        <v>MYBBP1A</v>
      </c>
      <c r="B10182" t="s">
        <v>8</v>
      </c>
    </row>
    <row r="10183" spans="1:2" x14ac:dyDescent="0.2">
      <c r="A10183" t="str">
        <f>"MYBL1"</f>
        <v>MYBL1</v>
      </c>
      <c r="B10183" t="s">
        <v>3</v>
      </c>
    </row>
    <row r="10184" spans="1:2" x14ac:dyDescent="0.2">
      <c r="A10184" t="str">
        <f>"MYBL2"</f>
        <v>MYBL2</v>
      </c>
      <c r="B10184" t="s">
        <v>3</v>
      </c>
    </row>
    <row r="10185" spans="1:2" x14ac:dyDescent="0.2">
      <c r="A10185" t="str">
        <f>"MYBPC1"</f>
        <v>MYBPC1</v>
      </c>
      <c r="B10185" t="s">
        <v>6</v>
      </c>
    </row>
    <row r="10186" spans="1:2" x14ac:dyDescent="0.2">
      <c r="A10186" t="str">
        <f>"MYBPC2"</f>
        <v>MYBPC2</v>
      </c>
      <c r="B10186" t="s">
        <v>6</v>
      </c>
    </row>
    <row r="10187" spans="1:2" x14ac:dyDescent="0.2">
      <c r="A10187" t="str">
        <f>"MYBPC3"</f>
        <v>MYBPC3</v>
      </c>
      <c r="B10187" t="s">
        <v>6</v>
      </c>
    </row>
    <row r="10188" spans="1:2" x14ac:dyDescent="0.2">
      <c r="A10188" t="str">
        <f>"MYBPH"</f>
        <v>MYBPH</v>
      </c>
      <c r="B10188" t="s">
        <v>6</v>
      </c>
    </row>
    <row r="10189" spans="1:2" x14ac:dyDescent="0.2">
      <c r="A10189" t="str">
        <f>"MYBPHL"</f>
        <v>MYBPHL</v>
      </c>
      <c r="B10189" t="s">
        <v>4</v>
      </c>
    </row>
    <row r="10190" spans="1:2" x14ac:dyDescent="0.2">
      <c r="A10190" t="str">
        <f>"MYC"</f>
        <v>MYC</v>
      </c>
      <c r="B10190" t="s">
        <v>3</v>
      </c>
    </row>
    <row r="10191" spans="1:2" x14ac:dyDescent="0.2">
      <c r="A10191" t="str">
        <f>"MYCBP"</f>
        <v>MYCBP</v>
      </c>
      <c r="B10191" t="s">
        <v>6</v>
      </c>
    </row>
    <row r="10192" spans="1:2" x14ac:dyDescent="0.2">
      <c r="A10192" t="str">
        <f>"MYCBP2"</f>
        <v>MYCBP2</v>
      </c>
      <c r="B10192" t="s">
        <v>3</v>
      </c>
    </row>
    <row r="10193" spans="1:2" x14ac:dyDescent="0.2">
      <c r="A10193" t="str">
        <f>"MYCBPAP"</f>
        <v>MYCBPAP</v>
      </c>
      <c r="B10193" t="s">
        <v>4</v>
      </c>
    </row>
    <row r="10194" spans="1:2" x14ac:dyDescent="0.2">
      <c r="A10194" t="str">
        <f>"MYCL"</f>
        <v>MYCL</v>
      </c>
      <c r="B10194" t="s">
        <v>3</v>
      </c>
    </row>
    <row r="10195" spans="1:2" x14ac:dyDescent="0.2">
      <c r="A10195" t="str">
        <f>"MYCN"</f>
        <v>MYCN</v>
      </c>
      <c r="B10195" t="s">
        <v>3</v>
      </c>
    </row>
    <row r="10196" spans="1:2" x14ac:dyDescent="0.2">
      <c r="A10196" t="str">
        <f>"MYCT1"</f>
        <v>MYCT1</v>
      </c>
      <c r="B10196" t="s">
        <v>5</v>
      </c>
    </row>
    <row r="10197" spans="1:2" x14ac:dyDescent="0.2">
      <c r="A10197" t="str">
        <f>"MYD88"</f>
        <v>MYD88</v>
      </c>
      <c r="B10197" t="s">
        <v>3</v>
      </c>
    </row>
    <row r="10198" spans="1:2" x14ac:dyDescent="0.2">
      <c r="A10198" t="str">
        <f>"MYEF2"</f>
        <v>MYEF2</v>
      </c>
      <c r="B10198" t="s">
        <v>8</v>
      </c>
    </row>
    <row r="10199" spans="1:2" x14ac:dyDescent="0.2">
      <c r="A10199" t="str">
        <f>"MYEOV"</f>
        <v>MYEOV</v>
      </c>
      <c r="B10199" t="s">
        <v>5</v>
      </c>
    </row>
    <row r="10200" spans="1:2" x14ac:dyDescent="0.2">
      <c r="A10200" t="str">
        <f>"MYEOV2"</f>
        <v>MYEOV2</v>
      </c>
      <c r="B10200" t="s">
        <v>4</v>
      </c>
    </row>
    <row r="10201" spans="1:2" x14ac:dyDescent="0.2">
      <c r="A10201" t="str">
        <f>"MYF5"</f>
        <v>MYF5</v>
      </c>
      <c r="B10201" t="s">
        <v>8</v>
      </c>
    </row>
    <row r="10202" spans="1:2" x14ac:dyDescent="0.2">
      <c r="A10202" t="str">
        <f>"MYF6"</f>
        <v>MYF6</v>
      </c>
      <c r="B10202" t="s">
        <v>8</v>
      </c>
    </row>
    <row r="10203" spans="1:2" x14ac:dyDescent="0.2">
      <c r="A10203" t="str">
        <f>"MYH1"</f>
        <v>MYH1</v>
      </c>
      <c r="B10203" t="s">
        <v>6</v>
      </c>
    </row>
    <row r="10204" spans="1:2" x14ac:dyDescent="0.2">
      <c r="A10204" t="str">
        <f>"MYH10"</f>
        <v>MYH10</v>
      </c>
      <c r="B10204" t="s">
        <v>2</v>
      </c>
    </row>
    <row r="10205" spans="1:2" x14ac:dyDescent="0.2">
      <c r="A10205" t="str">
        <f>"MYH11"</f>
        <v>MYH11</v>
      </c>
      <c r="B10205" t="s">
        <v>3</v>
      </c>
    </row>
    <row r="10206" spans="1:2" x14ac:dyDescent="0.2">
      <c r="A10206" t="str">
        <f>"MYH13"</f>
        <v>MYH13</v>
      </c>
      <c r="B10206" t="s">
        <v>6</v>
      </c>
    </row>
    <row r="10207" spans="1:2" x14ac:dyDescent="0.2">
      <c r="A10207" t="str">
        <f>"MYH14"</f>
        <v>MYH14</v>
      </c>
      <c r="B10207" t="s">
        <v>7</v>
      </c>
    </row>
    <row r="10208" spans="1:2" x14ac:dyDescent="0.2">
      <c r="A10208" t="str">
        <f>"MYH15"</f>
        <v>MYH15</v>
      </c>
      <c r="B10208" t="s">
        <v>6</v>
      </c>
    </row>
    <row r="10209" spans="1:2" x14ac:dyDescent="0.2">
      <c r="A10209" t="str">
        <f>"MYH2"</f>
        <v>MYH2</v>
      </c>
      <c r="B10209" t="s">
        <v>2</v>
      </c>
    </row>
    <row r="10210" spans="1:2" x14ac:dyDescent="0.2">
      <c r="A10210" t="str">
        <f>"MYH3"</f>
        <v>MYH3</v>
      </c>
      <c r="B10210" t="s">
        <v>2</v>
      </c>
    </row>
    <row r="10211" spans="1:2" x14ac:dyDescent="0.2">
      <c r="A10211" t="str">
        <f>"MYH4"</f>
        <v>MYH4</v>
      </c>
      <c r="B10211" t="s">
        <v>2</v>
      </c>
    </row>
    <row r="10212" spans="1:2" x14ac:dyDescent="0.2">
      <c r="A10212" t="str">
        <f>"MYH6"</f>
        <v>MYH6</v>
      </c>
      <c r="B10212" t="s">
        <v>6</v>
      </c>
    </row>
    <row r="10213" spans="1:2" x14ac:dyDescent="0.2">
      <c r="A10213" t="str">
        <f>"MYH7"</f>
        <v>MYH7</v>
      </c>
      <c r="B10213" t="s">
        <v>7</v>
      </c>
    </row>
    <row r="10214" spans="1:2" x14ac:dyDescent="0.2">
      <c r="A10214" t="str">
        <f>"MYH7B"</f>
        <v>MYH7B</v>
      </c>
      <c r="B10214" t="s">
        <v>2</v>
      </c>
    </row>
    <row r="10215" spans="1:2" x14ac:dyDescent="0.2">
      <c r="A10215" t="str">
        <f>"MYH8"</f>
        <v>MYH8</v>
      </c>
      <c r="B10215" t="s">
        <v>6</v>
      </c>
    </row>
    <row r="10216" spans="1:2" x14ac:dyDescent="0.2">
      <c r="A10216" t="str">
        <f>"MYH9"</f>
        <v>MYH9</v>
      </c>
      <c r="B10216" t="s">
        <v>3</v>
      </c>
    </row>
    <row r="10217" spans="1:2" x14ac:dyDescent="0.2">
      <c r="A10217" t="str">
        <f>"MYL1"</f>
        <v>MYL1</v>
      </c>
      <c r="B10217" t="s">
        <v>6</v>
      </c>
    </row>
    <row r="10218" spans="1:2" x14ac:dyDescent="0.2">
      <c r="A10218" t="str">
        <f>"MYL10"</f>
        <v>MYL10</v>
      </c>
      <c r="B10218" t="s">
        <v>6</v>
      </c>
    </row>
    <row r="10219" spans="1:2" x14ac:dyDescent="0.2">
      <c r="A10219" t="str">
        <f>"MYL12A"</f>
        <v>MYL12A</v>
      </c>
      <c r="B10219" t="s">
        <v>7</v>
      </c>
    </row>
    <row r="10220" spans="1:2" x14ac:dyDescent="0.2">
      <c r="A10220" t="str">
        <f>"MYL12B"</f>
        <v>MYL12B</v>
      </c>
      <c r="B10220" t="s">
        <v>2</v>
      </c>
    </row>
    <row r="10221" spans="1:2" x14ac:dyDescent="0.2">
      <c r="A10221" t="str">
        <f>"MYL2"</f>
        <v>MYL2</v>
      </c>
      <c r="B10221" t="s">
        <v>6</v>
      </c>
    </row>
    <row r="10222" spans="1:2" x14ac:dyDescent="0.2">
      <c r="A10222" t="str">
        <f>"MYL3"</f>
        <v>MYL3</v>
      </c>
      <c r="B10222" t="s">
        <v>6</v>
      </c>
    </row>
    <row r="10223" spans="1:2" x14ac:dyDescent="0.2">
      <c r="A10223" t="str">
        <f>"MYL4"</f>
        <v>MYL4</v>
      </c>
      <c r="B10223" t="s">
        <v>6</v>
      </c>
    </row>
    <row r="10224" spans="1:2" x14ac:dyDescent="0.2">
      <c r="A10224" t="str">
        <f>"MYL5"</f>
        <v>MYL5</v>
      </c>
      <c r="B10224" t="s">
        <v>6</v>
      </c>
    </row>
    <row r="10225" spans="1:2" x14ac:dyDescent="0.2">
      <c r="A10225" t="str">
        <f>"MYL6"</f>
        <v>MYL6</v>
      </c>
      <c r="B10225" t="s">
        <v>2</v>
      </c>
    </row>
    <row r="10226" spans="1:2" x14ac:dyDescent="0.2">
      <c r="A10226" t="str">
        <f>"MYL6B"</f>
        <v>MYL6B</v>
      </c>
      <c r="B10226" t="s">
        <v>7</v>
      </c>
    </row>
    <row r="10227" spans="1:2" x14ac:dyDescent="0.2">
      <c r="A10227" t="str">
        <f>"MYL7"</f>
        <v>MYL7</v>
      </c>
      <c r="B10227" t="s">
        <v>6</v>
      </c>
    </row>
    <row r="10228" spans="1:2" x14ac:dyDescent="0.2">
      <c r="A10228" t="str">
        <f>"MYL9"</f>
        <v>MYL9</v>
      </c>
      <c r="B10228" t="s">
        <v>6</v>
      </c>
    </row>
    <row r="10229" spans="1:2" x14ac:dyDescent="0.2">
      <c r="A10229" t="str">
        <f>"MYLIP"</f>
        <v>MYLIP</v>
      </c>
      <c r="B10229" t="s">
        <v>2</v>
      </c>
    </row>
    <row r="10230" spans="1:2" x14ac:dyDescent="0.2">
      <c r="A10230" t="str">
        <f>"MYLK"</f>
        <v>MYLK</v>
      </c>
      <c r="B10230" t="s">
        <v>7</v>
      </c>
    </row>
    <row r="10231" spans="1:2" x14ac:dyDescent="0.2">
      <c r="A10231" t="str">
        <f>"MYLK2"</f>
        <v>MYLK2</v>
      </c>
      <c r="B10231" t="s">
        <v>7</v>
      </c>
    </row>
    <row r="10232" spans="1:2" x14ac:dyDescent="0.2">
      <c r="A10232" t="str">
        <f>"MYLK3"</f>
        <v>MYLK3</v>
      </c>
      <c r="B10232" t="s">
        <v>7</v>
      </c>
    </row>
    <row r="10233" spans="1:2" x14ac:dyDescent="0.2">
      <c r="A10233" t="str">
        <f>"MYLK4"</f>
        <v>MYLK4</v>
      </c>
      <c r="B10233" t="s">
        <v>7</v>
      </c>
    </row>
    <row r="10234" spans="1:2" x14ac:dyDescent="0.2">
      <c r="A10234" t="str">
        <f>"MYLPF"</f>
        <v>MYLPF</v>
      </c>
      <c r="B10234" t="s">
        <v>6</v>
      </c>
    </row>
    <row r="10235" spans="1:2" x14ac:dyDescent="0.2">
      <c r="A10235" t="str">
        <f>"MYNN"</f>
        <v>MYNN</v>
      </c>
      <c r="B10235" t="s">
        <v>8</v>
      </c>
    </row>
    <row r="10236" spans="1:2" x14ac:dyDescent="0.2">
      <c r="A10236" t="str">
        <f>"MYO10"</f>
        <v>MYO10</v>
      </c>
      <c r="B10236" t="s">
        <v>2</v>
      </c>
    </row>
    <row r="10237" spans="1:2" x14ac:dyDescent="0.2">
      <c r="A10237" t="str">
        <f>"MYO15A"</f>
        <v>MYO15A</v>
      </c>
      <c r="B10237" t="s">
        <v>6</v>
      </c>
    </row>
    <row r="10238" spans="1:2" x14ac:dyDescent="0.2">
      <c r="A10238" t="str">
        <f>"MYO16"</f>
        <v>MYO16</v>
      </c>
      <c r="B10238" t="s">
        <v>3</v>
      </c>
    </row>
    <row r="10239" spans="1:2" x14ac:dyDescent="0.2">
      <c r="A10239" t="str">
        <f>"MYO18A"</f>
        <v>MYO18A</v>
      </c>
      <c r="B10239" t="s">
        <v>2</v>
      </c>
    </row>
    <row r="10240" spans="1:2" x14ac:dyDescent="0.2">
      <c r="A10240" t="str">
        <f>"MYO18B"</f>
        <v>MYO18B</v>
      </c>
      <c r="B10240" t="s">
        <v>3</v>
      </c>
    </row>
    <row r="10241" spans="1:2" x14ac:dyDescent="0.2">
      <c r="A10241" t="str">
        <f>"MYO19"</f>
        <v>MYO19</v>
      </c>
      <c r="B10241" t="s">
        <v>6</v>
      </c>
    </row>
    <row r="10242" spans="1:2" x14ac:dyDescent="0.2">
      <c r="A10242" t="str">
        <f>"MYO1A"</f>
        <v>MYO1A</v>
      </c>
      <c r="B10242" t="s">
        <v>2</v>
      </c>
    </row>
    <row r="10243" spans="1:2" x14ac:dyDescent="0.2">
      <c r="A10243" t="str">
        <f>"MYO1B"</f>
        <v>MYO1B</v>
      </c>
      <c r="B10243" t="s">
        <v>6</v>
      </c>
    </row>
    <row r="10244" spans="1:2" x14ac:dyDescent="0.2">
      <c r="A10244" t="str">
        <f>"MYO1C"</f>
        <v>MYO1C</v>
      </c>
      <c r="B10244" t="s">
        <v>2</v>
      </c>
    </row>
    <row r="10245" spans="1:2" x14ac:dyDescent="0.2">
      <c r="A10245" t="str">
        <f>"MYO1D"</f>
        <v>MYO1D</v>
      </c>
      <c r="B10245" t="s">
        <v>7</v>
      </c>
    </row>
    <row r="10246" spans="1:2" x14ac:dyDescent="0.2">
      <c r="A10246" t="str">
        <f>"MYO1E"</f>
        <v>MYO1E</v>
      </c>
      <c r="B10246" t="s">
        <v>2</v>
      </c>
    </row>
    <row r="10247" spans="1:2" x14ac:dyDescent="0.2">
      <c r="A10247" t="str">
        <f>"MYO1F"</f>
        <v>MYO1F</v>
      </c>
      <c r="B10247" t="s">
        <v>2</v>
      </c>
    </row>
    <row r="10248" spans="1:2" x14ac:dyDescent="0.2">
      <c r="A10248" t="str">
        <f>"MYO1G"</f>
        <v>MYO1G</v>
      </c>
      <c r="B10248" t="s">
        <v>6</v>
      </c>
    </row>
    <row r="10249" spans="1:2" x14ac:dyDescent="0.2">
      <c r="A10249" t="str">
        <f>"MYO1H"</f>
        <v>MYO1H</v>
      </c>
      <c r="B10249" t="s">
        <v>6</v>
      </c>
    </row>
    <row r="10250" spans="1:2" x14ac:dyDescent="0.2">
      <c r="A10250" t="str">
        <f>"MYO3A"</f>
        <v>MYO3A</v>
      </c>
      <c r="B10250" t="s">
        <v>7</v>
      </c>
    </row>
    <row r="10251" spans="1:2" x14ac:dyDescent="0.2">
      <c r="A10251" t="str">
        <f>"MYO3B"</f>
        <v>MYO3B</v>
      </c>
      <c r="B10251" t="s">
        <v>7</v>
      </c>
    </row>
    <row r="10252" spans="1:2" x14ac:dyDescent="0.2">
      <c r="A10252" t="str">
        <f>"MYO5A"</f>
        <v>MYO5A</v>
      </c>
      <c r="B10252" t="s">
        <v>6</v>
      </c>
    </row>
    <row r="10253" spans="1:2" x14ac:dyDescent="0.2">
      <c r="A10253" t="str">
        <f>"MYO5B"</f>
        <v>MYO5B</v>
      </c>
      <c r="B10253" t="s">
        <v>2</v>
      </c>
    </row>
    <row r="10254" spans="1:2" x14ac:dyDescent="0.2">
      <c r="A10254" t="str">
        <f>"MYO5C"</f>
        <v>MYO5C</v>
      </c>
      <c r="B10254" t="s">
        <v>2</v>
      </c>
    </row>
    <row r="10255" spans="1:2" x14ac:dyDescent="0.2">
      <c r="A10255" t="str">
        <f>"MYO6"</f>
        <v>MYO6</v>
      </c>
      <c r="B10255" t="s">
        <v>3</v>
      </c>
    </row>
    <row r="10256" spans="1:2" x14ac:dyDescent="0.2">
      <c r="A10256" t="str">
        <f>"MYO7A"</f>
        <v>MYO7A</v>
      </c>
      <c r="B10256" t="s">
        <v>2</v>
      </c>
    </row>
    <row r="10257" spans="1:2" x14ac:dyDescent="0.2">
      <c r="A10257" t="str">
        <f>"MYO7B"</f>
        <v>MYO7B</v>
      </c>
      <c r="B10257" t="s">
        <v>2</v>
      </c>
    </row>
    <row r="10258" spans="1:2" x14ac:dyDescent="0.2">
      <c r="A10258" t="str">
        <f>"MYO9A"</f>
        <v>MYO9A</v>
      </c>
      <c r="B10258" t="s">
        <v>6</v>
      </c>
    </row>
    <row r="10259" spans="1:2" x14ac:dyDescent="0.2">
      <c r="A10259" t="str">
        <f>"MYO9B"</f>
        <v>MYO9B</v>
      </c>
      <c r="B10259" t="s">
        <v>2</v>
      </c>
    </row>
    <row r="10260" spans="1:2" x14ac:dyDescent="0.2">
      <c r="A10260" t="str">
        <f>"MYOC"</f>
        <v>MYOC</v>
      </c>
      <c r="B10260" t="s">
        <v>2</v>
      </c>
    </row>
    <row r="10261" spans="1:2" x14ac:dyDescent="0.2">
      <c r="A10261" t="str">
        <f>"MYOCD"</f>
        <v>MYOCD</v>
      </c>
      <c r="B10261" t="s">
        <v>8</v>
      </c>
    </row>
    <row r="10262" spans="1:2" x14ac:dyDescent="0.2">
      <c r="A10262" t="str">
        <f>"MYOD1"</f>
        <v>MYOD1</v>
      </c>
      <c r="B10262" t="s">
        <v>3</v>
      </c>
    </row>
    <row r="10263" spans="1:2" x14ac:dyDescent="0.2">
      <c r="A10263" t="str">
        <f>"MYOF"</f>
        <v>MYOF</v>
      </c>
      <c r="B10263" t="s">
        <v>5</v>
      </c>
    </row>
    <row r="10264" spans="1:2" x14ac:dyDescent="0.2">
      <c r="A10264" t="str">
        <f>"MYOG"</f>
        <v>MYOG</v>
      </c>
      <c r="B10264" t="s">
        <v>8</v>
      </c>
    </row>
    <row r="10265" spans="1:2" x14ac:dyDescent="0.2">
      <c r="A10265" t="str">
        <f>"MYOM1"</f>
        <v>MYOM1</v>
      </c>
      <c r="B10265" t="s">
        <v>6</v>
      </c>
    </row>
    <row r="10266" spans="1:2" x14ac:dyDescent="0.2">
      <c r="A10266" t="str">
        <f>"MYOM2"</f>
        <v>MYOM2</v>
      </c>
      <c r="B10266" t="s">
        <v>6</v>
      </c>
    </row>
    <row r="10267" spans="1:2" x14ac:dyDescent="0.2">
      <c r="A10267" t="str">
        <f>"MYOM3"</f>
        <v>MYOM3</v>
      </c>
      <c r="B10267" t="s">
        <v>4</v>
      </c>
    </row>
    <row r="10268" spans="1:2" x14ac:dyDescent="0.2">
      <c r="A10268" t="str">
        <f>"MYOT"</f>
        <v>MYOT</v>
      </c>
      <c r="B10268" t="s">
        <v>6</v>
      </c>
    </row>
    <row r="10269" spans="1:2" x14ac:dyDescent="0.2">
      <c r="A10269" t="str">
        <f>"MYOZ1"</f>
        <v>MYOZ1</v>
      </c>
      <c r="B10269" t="s">
        <v>6</v>
      </c>
    </row>
    <row r="10270" spans="1:2" x14ac:dyDescent="0.2">
      <c r="A10270" t="str">
        <f>"MYOZ2"</f>
        <v>MYOZ2</v>
      </c>
      <c r="B10270" t="s">
        <v>6</v>
      </c>
    </row>
    <row r="10271" spans="1:2" x14ac:dyDescent="0.2">
      <c r="A10271" t="str">
        <f>"MYOZ3"</f>
        <v>MYOZ3</v>
      </c>
      <c r="B10271" t="s">
        <v>6</v>
      </c>
    </row>
    <row r="10272" spans="1:2" x14ac:dyDescent="0.2">
      <c r="A10272" t="str">
        <f>"MYPN"</f>
        <v>MYPN</v>
      </c>
      <c r="B10272" t="s">
        <v>6</v>
      </c>
    </row>
    <row r="10273" spans="1:2" x14ac:dyDescent="0.2">
      <c r="A10273" t="str">
        <f>"MYPOP"</f>
        <v>MYPOP</v>
      </c>
      <c r="B10273" t="s">
        <v>8</v>
      </c>
    </row>
    <row r="10274" spans="1:2" x14ac:dyDescent="0.2">
      <c r="A10274" t="str">
        <f>"MYRF"</f>
        <v>MYRF</v>
      </c>
      <c r="B10274" t="s">
        <v>8</v>
      </c>
    </row>
    <row r="10275" spans="1:2" x14ac:dyDescent="0.2">
      <c r="A10275" t="str">
        <f>"MYRFL"</f>
        <v>MYRFL</v>
      </c>
      <c r="B10275" t="s">
        <v>8</v>
      </c>
    </row>
    <row r="10276" spans="1:2" x14ac:dyDescent="0.2">
      <c r="A10276" t="str">
        <f>"MYRIP"</f>
        <v>MYRIP</v>
      </c>
      <c r="B10276" t="s">
        <v>2</v>
      </c>
    </row>
    <row r="10277" spans="1:2" x14ac:dyDescent="0.2">
      <c r="A10277" t="str">
        <f>"MYSM1"</f>
        <v>MYSM1</v>
      </c>
      <c r="B10277" t="s">
        <v>2</v>
      </c>
    </row>
    <row r="10278" spans="1:2" x14ac:dyDescent="0.2">
      <c r="A10278" t="str">
        <f>"MYT1"</f>
        <v>MYT1</v>
      </c>
      <c r="B10278" t="s">
        <v>8</v>
      </c>
    </row>
    <row r="10279" spans="1:2" x14ac:dyDescent="0.2">
      <c r="A10279" t="str">
        <f>"MYT1L"</f>
        <v>MYT1L</v>
      </c>
      <c r="B10279" t="s">
        <v>8</v>
      </c>
    </row>
    <row r="10280" spans="1:2" x14ac:dyDescent="0.2">
      <c r="A10280" t="str">
        <f>"MYZAP"</f>
        <v>MYZAP</v>
      </c>
      <c r="B10280" t="s">
        <v>4</v>
      </c>
    </row>
    <row r="10281" spans="1:2" x14ac:dyDescent="0.2">
      <c r="A10281" t="str">
        <f>"MZB1"</f>
        <v>MZB1</v>
      </c>
      <c r="B10281" t="s">
        <v>4</v>
      </c>
    </row>
    <row r="10282" spans="1:2" x14ac:dyDescent="0.2">
      <c r="A10282" t="str">
        <f>"MZF1"</f>
        <v>MZF1</v>
      </c>
      <c r="B10282" t="s">
        <v>8</v>
      </c>
    </row>
    <row r="10283" spans="1:2" x14ac:dyDescent="0.2">
      <c r="A10283" t="str">
        <f>"MZT1"</f>
        <v>MZT1</v>
      </c>
      <c r="B10283" t="s">
        <v>4</v>
      </c>
    </row>
    <row r="10284" spans="1:2" x14ac:dyDescent="0.2">
      <c r="A10284" t="str">
        <f>"MZT2A"</f>
        <v>MZT2A</v>
      </c>
      <c r="B10284" t="s">
        <v>4</v>
      </c>
    </row>
    <row r="10285" spans="1:2" x14ac:dyDescent="0.2">
      <c r="A10285" t="str">
        <f>"MZT2B"</f>
        <v>MZT2B</v>
      </c>
      <c r="B10285" t="s">
        <v>5</v>
      </c>
    </row>
    <row r="10286" spans="1:2" x14ac:dyDescent="0.2">
      <c r="A10286" t="str">
        <f>"N4BP1"</f>
        <v>N4BP1</v>
      </c>
      <c r="B10286" t="s">
        <v>3</v>
      </c>
    </row>
    <row r="10287" spans="1:2" x14ac:dyDescent="0.2">
      <c r="A10287" t="str">
        <f>"N4BP2"</f>
        <v>N4BP2</v>
      </c>
      <c r="B10287" t="s">
        <v>3</v>
      </c>
    </row>
    <row r="10288" spans="1:2" x14ac:dyDescent="0.2">
      <c r="A10288" t="str">
        <f>"N4BP2L1"</f>
        <v>N4BP2L1</v>
      </c>
      <c r="B10288" t="s">
        <v>3</v>
      </c>
    </row>
    <row r="10289" spans="1:2" x14ac:dyDescent="0.2">
      <c r="A10289" t="str">
        <f>"N4BP2L2"</f>
        <v>N4BP2L2</v>
      </c>
      <c r="B10289" t="s">
        <v>5</v>
      </c>
    </row>
    <row r="10290" spans="1:2" x14ac:dyDescent="0.2">
      <c r="A10290" t="str">
        <f>"N4BP3"</f>
        <v>N4BP3</v>
      </c>
      <c r="B10290" t="s">
        <v>6</v>
      </c>
    </row>
    <row r="10291" spans="1:2" x14ac:dyDescent="0.2">
      <c r="A10291" t="str">
        <f>"N6AMT1"</f>
        <v>N6AMT1</v>
      </c>
      <c r="B10291" t="s">
        <v>4</v>
      </c>
    </row>
    <row r="10292" spans="1:2" x14ac:dyDescent="0.2">
      <c r="A10292" t="str">
        <f>"N6AMT2"</f>
        <v>N6AMT2</v>
      </c>
      <c r="B10292" t="s">
        <v>2</v>
      </c>
    </row>
    <row r="10293" spans="1:2" x14ac:dyDescent="0.2">
      <c r="A10293" t="str">
        <f>"NAA10"</f>
        <v>NAA10</v>
      </c>
      <c r="B10293" t="s">
        <v>3</v>
      </c>
    </row>
    <row r="10294" spans="1:2" x14ac:dyDescent="0.2">
      <c r="A10294" t="str">
        <f>"NAA11"</f>
        <v>NAA11</v>
      </c>
      <c r="B10294" t="s">
        <v>6</v>
      </c>
    </row>
    <row r="10295" spans="1:2" x14ac:dyDescent="0.2">
      <c r="A10295" t="str">
        <f>"NAA15"</f>
        <v>NAA15</v>
      </c>
      <c r="B10295" t="s">
        <v>6</v>
      </c>
    </row>
    <row r="10296" spans="1:2" x14ac:dyDescent="0.2">
      <c r="A10296" t="str">
        <f>"NAA16"</f>
        <v>NAA16</v>
      </c>
      <c r="B10296" t="s">
        <v>8</v>
      </c>
    </row>
    <row r="10297" spans="1:2" x14ac:dyDescent="0.2">
      <c r="A10297" t="str">
        <f>"NAA20"</f>
        <v>NAA20</v>
      </c>
      <c r="B10297" t="s">
        <v>3</v>
      </c>
    </row>
    <row r="10298" spans="1:2" x14ac:dyDescent="0.2">
      <c r="A10298" t="str">
        <f>"NAA25"</f>
        <v>NAA25</v>
      </c>
      <c r="B10298" t="s">
        <v>6</v>
      </c>
    </row>
    <row r="10299" spans="1:2" x14ac:dyDescent="0.2">
      <c r="A10299" t="str">
        <f>"NAA30"</f>
        <v>NAA30</v>
      </c>
      <c r="B10299" t="s">
        <v>4</v>
      </c>
    </row>
    <row r="10300" spans="1:2" x14ac:dyDescent="0.2">
      <c r="A10300" t="str">
        <f>"NAA35"</f>
        <v>NAA35</v>
      </c>
      <c r="B10300" t="s">
        <v>4</v>
      </c>
    </row>
    <row r="10301" spans="1:2" x14ac:dyDescent="0.2">
      <c r="A10301" t="str">
        <f>"NAA38"</f>
        <v>NAA38</v>
      </c>
      <c r="B10301" t="s">
        <v>4</v>
      </c>
    </row>
    <row r="10302" spans="1:2" x14ac:dyDescent="0.2">
      <c r="A10302" t="str">
        <f>"NAA40"</f>
        <v>NAA40</v>
      </c>
      <c r="B10302" t="s">
        <v>4</v>
      </c>
    </row>
    <row r="10303" spans="1:2" x14ac:dyDescent="0.2">
      <c r="A10303" t="str">
        <f>"NAA50"</f>
        <v>NAA50</v>
      </c>
      <c r="B10303" t="s">
        <v>6</v>
      </c>
    </row>
    <row r="10304" spans="1:2" x14ac:dyDescent="0.2">
      <c r="A10304" t="str">
        <f>"NAA60"</f>
        <v>NAA60</v>
      </c>
      <c r="B10304" t="s">
        <v>4</v>
      </c>
    </row>
    <row r="10305" spans="1:2" x14ac:dyDescent="0.2">
      <c r="A10305" t="str">
        <f>"NAAA"</f>
        <v>NAAA</v>
      </c>
      <c r="B10305" t="s">
        <v>2</v>
      </c>
    </row>
    <row r="10306" spans="1:2" x14ac:dyDescent="0.2">
      <c r="A10306" t="str">
        <f>"NAALAD2"</f>
        <v>NAALAD2</v>
      </c>
      <c r="B10306" t="s">
        <v>2</v>
      </c>
    </row>
    <row r="10307" spans="1:2" x14ac:dyDescent="0.2">
      <c r="A10307" t="str">
        <f>"NAALADL1"</f>
        <v>NAALADL1</v>
      </c>
      <c r="B10307" t="s">
        <v>2</v>
      </c>
    </row>
    <row r="10308" spans="1:2" x14ac:dyDescent="0.2">
      <c r="A10308" t="str">
        <f>"NAALADL2"</f>
        <v>NAALADL2</v>
      </c>
      <c r="B10308" t="s">
        <v>5</v>
      </c>
    </row>
    <row r="10309" spans="1:2" x14ac:dyDescent="0.2">
      <c r="A10309" t="str">
        <f>"NAB1"</f>
        <v>NAB1</v>
      </c>
      <c r="B10309" t="s">
        <v>8</v>
      </c>
    </row>
    <row r="10310" spans="1:2" x14ac:dyDescent="0.2">
      <c r="A10310" t="str">
        <f>"NAB2"</f>
        <v>NAB2</v>
      </c>
      <c r="B10310" t="s">
        <v>8</v>
      </c>
    </row>
    <row r="10311" spans="1:2" x14ac:dyDescent="0.2">
      <c r="A10311" t="str">
        <f>"NABP1"</f>
        <v>NABP1</v>
      </c>
      <c r="B10311" t="s">
        <v>2</v>
      </c>
    </row>
    <row r="10312" spans="1:2" x14ac:dyDescent="0.2">
      <c r="A10312" t="str">
        <f>"NABP2"</f>
        <v>NABP2</v>
      </c>
      <c r="B10312" t="s">
        <v>4</v>
      </c>
    </row>
    <row r="10313" spans="1:2" x14ac:dyDescent="0.2">
      <c r="A10313" t="str">
        <f>"NACA"</f>
        <v>NACA</v>
      </c>
      <c r="B10313" t="s">
        <v>3</v>
      </c>
    </row>
    <row r="10314" spans="1:2" x14ac:dyDescent="0.2">
      <c r="A10314" t="str">
        <f>"NACA2"</f>
        <v>NACA2</v>
      </c>
      <c r="B10314" t="s">
        <v>4</v>
      </c>
    </row>
    <row r="10315" spans="1:2" x14ac:dyDescent="0.2">
      <c r="A10315" t="str">
        <f>"NACAD"</f>
        <v>NACAD</v>
      </c>
      <c r="B10315" t="s">
        <v>2</v>
      </c>
    </row>
    <row r="10316" spans="1:2" x14ac:dyDescent="0.2">
      <c r="A10316" t="str">
        <f>"NACC1"</f>
        <v>NACC1</v>
      </c>
      <c r="B10316" t="s">
        <v>8</v>
      </c>
    </row>
    <row r="10317" spans="1:2" x14ac:dyDescent="0.2">
      <c r="A10317" t="str">
        <f>"NACC2"</f>
        <v>NACC2</v>
      </c>
      <c r="B10317" t="s">
        <v>4</v>
      </c>
    </row>
    <row r="10318" spans="1:2" x14ac:dyDescent="0.2">
      <c r="A10318" t="str">
        <f>"NADK"</f>
        <v>NADK</v>
      </c>
      <c r="B10318" t="s">
        <v>7</v>
      </c>
    </row>
    <row r="10319" spans="1:2" x14ac:dyDescent="0.2">
      <c r="A10319" t="str">
        <f>"NADK2"</f>
        <v>NADK2</v>
      </c>
      <c r="B10319" t="s">
        <v>4</v>
      </c>
    </row>
    <row r="10320" spans="1:2" x14ac:dyDescent="0.2">
      <c r="A10320" t="str">
        <f>"NADSYN1"</f>
        <v>NADSYN1</v>
      </c>
      <c r="B10320" t="s">
        <v>7</v>
      </c>
    </row>
    <row r="10321" spans="1:2" x14ac:dyDescent="0.2">
      <c r="A10321" t="str">
        <f>"NAE1"</f>
        <v>NAE1</v>
      </c>
      <c r="B10321" t="s">
        <v>3</v>
      </c>
    </row>
    <row r="10322" spans="1:2" x14ac:dyDescent="0.2">
      <c r="A10322" t="str">
        <f>"NAF1"</f>
        <v>NAF1</v>
      </c>
      <c r="B10322" t="s">
        <v>8</v>
      </c>
    </row>
    <row r="10323" spans="1:2" x14ac:dyDescent="0.2">
      <c r="A10323" t="str">
        <f>"NAGA"</f>
        <v>NAGA</v>
      </c>
      <c r="B10323" t="s">
        <v>7</v>
      </c>
    </row>
    <row r="10324" spans="1:2" x14ac:dyDescent="0.2">
      <c r="A10324" t="str">
        <f>"NAGK"</f>
        <v>NAGK</v>
      </c>
      <c r="B10324" t="s">
        <v>7</v>
      </c>
    </row>
    <row r="10325" spans="1:2" x14ac:dyDescent="0.2">
      <c r="A10325" t="str">
        <f>"NAGLU"</f>
        <v>NAGLU</v>
      </c>
      <c r="B10325" t="s">
        <v>7</v>
      </c>
    </row>
    <row r="10326" spans="1:2" x14ac:dyDescent="0.2">
      <c r="A10326" t="str">
        <f>"NAGPA"</f>
        <v>NAGPA</v>
      </c>
      <c r="B10326" t="s">
        <v>7</v>
      </c>
    </row>
    <row r="10327" spans="1:2" x14ac:dyDescent="0.2">
      <c r="A10327" t="str">
        <f>"NAGS"</f>
        <v>NAGS</v>
      </c>
      <c r="B10327" t="s">
        <v>7</v>
      </c>
    </row>
    <row r="10328" spans="1:2" x14ac:dyDescent="0.2">
      <c r="A10328" t="str">
        <f>"NAIF1"</f>
        <v>NAIF1</v>
      </c>
      <c r="B10328" t="s">
        <v>4</v>
      </c>
    </row>
    <row r="10329" spans="1:2" x14ac:dyDescent="0.2">
      <c r="A10329" t="str">
        <f>"NAIP"</f>
        <v>NAIP</v>
      </c>
      <c r="B10329" t="s">
        <v>3</v>
      </c>
    </row>
    <row r="10330" spans="1:2" x14ac:dyDescent="0.2">
      <c r="A10330" t="str">
        <f>"NALCN"</f>
        <v>NALCN</v>
      </c>
      <c r="B10330" t="s">
        <v>2</v>
      </c>
    </row>
    <row r="10331" spans="1:2" x14ac:dyDescent="0.2">
      <c r="A10331" t="str">
        <f>"NAMPT"</f>
        <v>NAMPT</v>
      </c>
      <c r="B10331" t="s">
        <v>3</v>
      </c>
    </row>
    <row r="10332" spans="1:2" x14ac:dyDescent="0.2">
      <c r="A10332" t="str">
        <f>"NANOG"</f>
        <v>NANOG</v>
      </c>
      <c r="B10332" t="s">
        <v>2</v>
      </c>
    </row>
    <row r="10333" spans="1:2" x14ac:dyDescent="0.2">
      <c r="A10333" t="str">
        <f>"NANOGNB"</f>
        <v>NANOGNB</v>
      </c>
      <c r="B10333" t="s">
        <v>8</v>
      </c>
    </row>
    <row r="10334" spans="1:2" x14ac:dyDescent="0.2">
      <c r="A10334" t="str">
        <f>"NANOS1"</f>
        <v>NANOS1</v>
      </c>
      <c r="B10334" t="s">
        <v>8</v>
      </c>
    </row>
    <row r="10335" spans="1:2" x14ac:dyDescent="0.2">
      <c r="A10335" t="str">
        <f>"NANOS2"</f>
        <v>NANOS2</v>
      </c>
      <c r="B10335" t="s">
        <v>8</v>
      </c>
    </row>
    <row r="10336" spans="1:2" x14ac:dyDescent="0.2">
      <c r="A10336" t="str">
        <f>"NANOS3"</f>
        <v>NANOS3</v>
      </c>
      <c r="B10336" t="s">
        <v>4</v>
      </c>
    </row>
    <row r="10337" spans="1:2" x14ac:dyDescent="0.2">
      <c r="A10337" t="str">
        <f>"NANP"</f>
        <v>NANP</v>
      </c>
      <c r="B10337" t="s">
        <v>3</v>
      </c>
    </row>
    <row r="10338" spans="1:2" x14ac:dyDescent="0.2">
      <c r="A10338" t="str">
        <f>"NANS"</f>
        <v>NANS</v>
      </c>
      <c r="B10338" t="s">
        <v>2</v>
      </c>
    </row>
    <row r="10339" spans="1:2" x14ac:dyDescent="0.2">
      <c r="A10339" t="str">
        <f>"NAP1L1"</f>
        <v>NAP1L1</v>
      </c>
      <c r="B10339" t="s">
        <v>3</v>
      </c>
    </row>
    <row r="10340" spans="1:2" x14ac:dyDescent="0.2">
      <c r="A10340" t="str">
        <f>"NAP1L2"</f>
        <v>NAP1L2</v>
      </c>
      <c r="B10340" t="s">
        <v>3</v>
      </c>
    </row>
    <row r="10341" spans="1:2" x14ac:dyDescent="0.2">
      <c r="A10341" t="str">
        <f>"NAP1L3"</f>
        <v>NAP1L3</v>
      </c>
      <c r="B10341" t="s">
        <v>3</v>
      </c>
    </row>
    <row r="10342" spans="1:2" x14ac:dyDescent="0.2">
      <c r="A10342" t="str">
        <f>"NAP1L4"</f>
        <v>NAP1L4</v>
      </c>
      <c r="B10342" t="s">
        <v>8</v>
      </c>
    </row>
    <row r="10343" spans="1:2" x14ac:dyDescent="0.2">
      <c r="A10343" t="str">
        <f>"NAP1L5"</f>
        <v>NAP1L5</v>
      </c>
      <c r="B10343" t="s">
        <v>3</v>
      </c>
    </row>
    <row r="10344" spans="1:2" x14ac:dyDescent="0.2">
      <c r="A10344" t="str">
        <f>"NAPA"</f>
        <v>NAPA</v>
      </c>
      <c r="B10344" t="s">
        <v>2</v>
      </c>
    </row>
    <row r="10345" spans="1:2" x14ac:dyDescent="0.2">
      <c r="A10345" t="str">
        <f>"NAPB"</f>
        <v>NAPB</v>
      </c>
      <c r="B10345" t="s">
        <v>7</v>
      </c>
    </row>
    <row r="10346" spans="1:2" x14ac:dyDescent="0.2">
      <c r="A10346" t="str">
        <f>"NAPEPLD"</f>
        <v>NAPEPLD</v>
      </c>
      <c r="B10346" t="s">
        <v>4</v>
      </c>
    </row>
    <row r="10347" spans="1:2" x14ac:dyDescent="0.2">
      <c r="A10347" t="str">
        <f>"NAPG"</f>
        <v>NAPG</v>
      </c>
      <c r="B10347" t="s">
        <v>2</v>
      </c>
    </row>
    <row r="10348" spans="1:2" x14ac:dyDescent="0.2">
      <c r="A10348" t="str">
        <f>"NAPRT1"</f>
        <v>NAPRT1</v>
      </c>
      <c r="B10348" t="s">
        <v>6</v>
      </c>
    </row>
    <row r="10349" spans="1:2" x14ac:dyDescent="0.2">
      <c r="A10349" t="str">
        <f>"NAPSA"</f>
        <v>NAPSA</v>
      </c>
      <c r="B10349" t="s">
        <v>2</v>
      </c>
    </row>
    <row r="10350" spans="1:2" x14ac:dyDescent="0.2">
      <c r="A10350" t="str">
        <f>"NARF"</f>
        <v>NARF</v>
      </c>
      <c r="B10350" t="s">
        <v>8</v>
      </c>
    </row>
    <row r="10351" spans="1:2" x14ac:dyDescent="0.2">
      <c r="A10351" t="str">
        <f>"NARFL"</f>
        <v>NARFL</v>
      </c>
      <c r="B10351" t="s">
        <v>8</v>
      </c>
    </row>
    <row r="10352" spans="1:2" x14ac:dyDescent="0.2">
      <c r="A10352" t="str">
        <f>"NARG2"</f>
        <v>NARG2</v>
      </c>
      <c r="B10352" t="s">
        <v>4</v>
      </c>
    </row>
    <row r="10353" spans="1:2" x14ac:dyDescent="0.2">
      <c r="A10353" t="str">
        <f>"NARR"</f>
        <v>NARR</v>
      </c>
      <c r="B10353" t="s">
        <v>4</v>
      </c>
    </row>
    <row r="10354" spans="1:2" x14ac:dyDescent="0.2">
      <c r="A10354" t="str">
        <f>"NARS"</f>
        <v>NARS</v>
      </c>
      <c r="B10354" t="s">
        <v>7</v>
      </c>
    </row>
    <row r="10355" spans="1:2" x14ac:dyDescent="0.2">
      <c r="A10355" t="str">
        <f>"NARS2"</f>
        <v>NARS2</v>
      </c>
      <c r="B10355" t="s">
        <v>7</v>
      </c>
    </row>
    <row r="10356" spans="1:2" x14ac:dyDescent="0.2">
      <c r="A10356" t="str">
        <f>"NASP"</f>
        <v>NASP</v>
      </c>
      <c r="B10356" t="s">
        <v>3</v>
      </c>
    </row>
    <row r="10357" spans="1:2" x14ac:dyDescent="0.2">
      <c r="A10357" t="str">
        <f>"NAT1"</f>
        <v>NAT1</v>
      </c>
      <c r="B10357" t="s">
        <v>3</v>
      </c>
    </row>
    <row r="10358" spans="1:2" x14ac:dyDescent="0.2">
      <c r="A10358" t="str">
        <f>"NAT10"</f>
        <v>NAT10</v>
      </c>
      <c r="B10358" t="s">
        <v>8</v>
      </c>
    </row>
    <row r="10359" spans="1:2" x14ac:dyDescent="0.2">
      <c r="A10359" t="str">
        <f>"NAT14"</f>
        <v>NAT14</v>
      </c>
      <c r="B10359" t="s">
        <v>8</v>
      </c>
    </row>
    <row r="10360" spans="1:2" x14ac:dyDescent="0.2">
      <c r="A10360" t="str">
        <f>"NAT16"</f>
        <v>NAT16</v>
      </c>
      <c r="B10360" t="s">
        <v>4</v>
      </c>
    </row>
    <row r="10361" spans="1:2" x14ac:dyDescent="0.2">
      <c r="A10361" t="str">
        <f>"NAT2"</f>
        <v>NAT2</v>
      </c>
      <c r="B10361" t="s">
        <v>3</v>
      </c>
    </row>
    <row r="10362" spans="1:2" x14ac:dyDescent="0.2">
      <c r="A10362" t="str">
        <f>"NAT6"</f>
        <v>NAT6</v>
      </c>
      <c r="B10362" t="s">
        <v>3</v>
      </c>
    </row>
    <row r="10363" spans="1:2" x14ac:dyDescent="0.2">
      <c r="A10363" t="str">
        <f>"NAT8"</f>
        <v>NAT8</v>
      </c>
      <c r="B10363" t="s">
        <v>6</v>
      </c>
    </row>
    <row r="10364" spans="1:2" x14ac:dyDescent="0.2">
      <c r="A10364" t="str">
        <f>"NAT8B"</f>
        <v>NAT8B</v>
      </c>
      <c r="B10364" t="s">
        <v>5</v>
      </c>
    </row>
    <row r="10365" spans="1:2" x14ac:dyDescent="0.2">
      <c r="A10365" t="str">
        <f>"NAT8L"</f>
        <v>NAT8L</v>
      </c>
      <c r="B10365" t="s">
        <v>6</v>
      </c>
    </row>
    <row r="10366" spans="1:2" x14ac:dyDescent="0.2">
      <c r="A10366" t="str">
        <f>"NAT9"</f>
        <v>NAT9</v>
      </c>
      <c r="B10366" t="s">
        <v>4</v>
      </c>
    </row>
    <row r="10367" spans="1:2" x14ac:dyDescent="0.2">
      <c r="A10367" t="str">
        <f>"NAV1"</f>
        <v>NAV1</v>
      </c>
      <c r="B10367" t="s">
        <v>6</v>
      </c>
    </row>
    <row r="10368" spans="1:2" x14ac:dyDescent="0.2">
      <c r="A10368" t="str">
        <f>"NAV2"</f>
        <v>NAV2</v>
      </c>
      <c r="B10368" t="s">
        <v>4</v>
      </c>
    </row>
    <row r="10369" spans="1:2" x14ac:dyDescent="0.2">
      <c r="A10369" t="str">
        <f>"NAV3"</f>
        <v>NAV3</v>
      </c>
      <c r="B10369" t="s">
        <v>3</v>
      </c>
    </row>
    <row r="10370" spans="1:2" x14ac:dyDescent="0.2">
      <c r="A10370" t="str">
        <f>"NBAS"</f>
        <v>NBAS</v>
      </c>
      <c r="B10370" t="s">
        <v>3</v>
      </c>
    </row>
    <row r="10371" spans="1:2" x14ac:dyDescent="0.2">
      <c r="A10371" t="str">
        <f>"NBEA"</f>
        <v>NBEA</v>
      </c>
      <c r="B10371" t="s">
        <v>5</v>
      </c>
    </row>
    <row r="10372" spans="1:2" x14ac:dyDescent="0.2">
      <c r="A10372" t="str">
        <f>"NBEAL1"</f>
        <v>NBEAL1</v>
      </c>
      <c r="B10372" t="s">
        <v>4</v>
      </c>
    </row>
    <row r="10373" spans="1:2" x14ac:dyDescent="0.2">
      <c r="A10373" t="str">
        <f>"NBEAL2"</f>
        <v>NBEAL2</v>
      </c>
      <c r="B10373" t="s">
        <v>4</v>
      </c>
    </row>
    <row r="10374" spans="1:2" x14ac:dyDescent="0.2">
      <c r="A10374" t="str">
        <f>"NBL1"</f>
        <v>NBL1</v>
      </c>
      <c r="B10374" t="s">
        <v>3</v>
      </c>
    </row>
    <row r="10375" spans="1:2" x14ac:dyDescent="0.2">
      <c r="A10375" t="str">
        <f>"NBN"</f>
        <v>NBN</v>
      </c>
      <c r="B10375" t="s">
        <v>3</v>
      </c>
    </row>
    <row r="10376" spans="1:2" x14ac:dyDescent="0.2">
      <c r="A10376" t="str">
        <f>"NBPF1"</f>
        <v>NBPF1</v>
      </c>
      <c r="B10376" t="s">
        <v>4</v>
      </c>
    </row>
    <row r="10377" spans="1:2" x14ac:dyDescent="0.2">
      <c r="A10377" t="str">
        <f>"NBPF11"</f>
        <v>NBPF11</v>
      </c>
      <c r="B10377" t="s">
        <v>4</v>
      </c>
    </row>
    <row r="10378" spans="1:2" x14ac:dyDescent="0.2">
      <c r="A10378" t="str">
        <f>"NBPF12"</f>
        <v>NBPF12</v>
      </c>
      <c r="B10378" t="s">
        <v>4</v>
      </c>
    </row>
    <row r="10379" spans="1:2" x14ac:dyDescent="0.2">
      <c r="A10379" t="str">
        <f>"NBPF14"</f>
        <v>NBPF14</v>
      </c>
      <c r="B10379" t="s">
        <v>4</v>
      </c>
    </row>
    <row r="10380" spans="1:2" x14ac:dyDescent="0.2">
      <c r="A10380" t="str">
        <f>"NBPF15"</f>
        <v>NBPF15</v>
      </c>
      <c r="B10380" t="s">
        <v>4</v>
      </c>
    </row>
    <row r="10381" spans="1:2" x14ac:dyDescent="0.2">
      <c r="A10381" t="str">
        <f>"NBPF3"</f>
        <v>NBPF3</v>
      </c>
      <c r="B10381" t="s">
        <v>4</v>
      </c>
    </row>
    <row r="10382" spans="1:2" x14ac:dyDescent="0.2">
      <c r="A10382" t="str">
        <f>"NBPF8"</f>
        <v>NBPF8</v>
      </c>
      <c r="B10382" t="s">
        <v>5</v>
      </c>
    </row>
    <row r="10383" spans="1:2" x14ac:dyDescent="0.2">
      <c r="A10383" t="str">
        <f>"NBPF9"</f>
        <v>NBPF9</v>
      </c>
      <c r="B10383" t="s">
        <v>4</v>
      </c>
    </row>
    <row r="10384" spans="1:2" x14ac:dyDescent="0.2">
      <c r="A10384" t="str">
        <f>"NBR1"</f>
        <v>NBR1</v>
      </c>
      <c r="B10384" t="s">
        <v>3</v>
      </c>
    </row>
    <row r="10385" spans="1:2" x14ac:dyDescent="0.2">
      <c r="A10385" t="str">
        <f>"NCALD"</f>
        <v>NCALD</v>
      </c>
      <c r="B10385" t="s">
        <v>6</v>
      </c>
    </row>
    <row r="10386" spans="1:2" x14ac:dyDescent="0.2">
      <c r="A10386" t="str">
        <f>"NCAM1"</f>
        <v>NCAM1</v>
      </c>
      <c r="B10386" t="s">
        <v>3</v>
      </c>
    </row>
    <row r="10387" spans="1:2" x14ac:dyDescent="0.2">
      <c r="A10387" t="str">
        <f>"NCAM2"</f>
        <v>NCAM2</v>
      </c>
      <c r="B10387" t="s">
        <v>5</v>
      </c>
    </row>
    <row r="10388" spans="1:2" x14ac:dyDescent="0.2">
      <c r="A10388" t="str">
        <f>"NCAN"</f>
        <v>NCAN</v>
      </c>
      <c r="B10388" t="s">
        <v>7</v>
      </c>
    </row>
    <row r="10389" spans="1:2" x14ac:dyDescent="0.2">
      <c r="A10389" t="str">
        <f>"NCAPD2"</f>
        <v>NCAPD2</v>
      </c>
      <c r="B10389" t="s">
        <v>3</v>
      </c>
    </row>
    <row r="10390" spans="1:2" x14ac:dyDescent="0.2">
      <c r="A10390" t="str">
        <f>"NCAPD3"</f>
        <v>NCAPD3</v>
      </c>
      <c r="B10390" t="s">
        <v>3</v>
      </c>
    </row>
    <row r="10391" spans="1:2" x14ac:dyDescent="0.2">
      <c r="A10391" t="str">
        <f>"NCAPG"</f>
        <v>NCAPG</v>
      </c>
      <c r="B10391" t="s">
        <v>3</v>
      </c>
    </row>
    <row r="10392" spans="1:2" x14ac:dyDescent="0.2">
      <c r="A10392" t="str">
        <f>"NCAPG2"</f>
        <v>NCAPG2</v>
      </c>
      <c r="B10392" t="s">
        <v>3</v>
      </c>
    </row>
    <row r="10393" spans="1:2" x14ac:dyDescent="0.2">
      <c r="A10393" t="str">
        <f>"NCAPH"</f>
        <v>NCAPH</v>
      </c>
      <c r="B10393" t="s">
        <v>3</v>
      </c>
    </row>
    <row r="10394" spans="1:2" x14ac:dyDescent="0.2">
      <c r="A10394" t="str">
        <f>"NCAPH2"</f>
        <v>NCAPH2</v>
      </c>
      <c r="B10394" t="s">
        <v>3</v>
      </c>
    </row>
    <row r="10395" spans="1:2" x14ac:dyDescent="0.2">
      <c r="A10395" t="str">
        <f>"NCBP1"</f>
        <v>NCBP1</v>
      </c>
      <c r="B10395" t="s">
        <v>8</v>
      </c>
    </row>
    <row r="10396" spans="1:2" x14ac:dyDescent="0.2">
      <c r="A10396" t="str">
        <f>"NCBP2"</f>
        <v>NCBP2</v>
      </c>
      <c r="B10396" t="s">
        <v>8</v>
      </c>
    </row>
    <row r="10397" spans="1:2" x14ac:dyDescent="0.2">
      <c r="A10397" t="str">
        <f>"NCCRP1"</f>
        <v>NCCRP1</v>
      </c>
      <c r="B10397" t="s">
        <v>2</v>
      </c>
    </row>
    <row r="10398" spans="1:2" x14ac:dyDescent="0.2">
      <c r="A10398" t="str">
        <f>"NCDN"</f>
        <v>NCDN</v>
      </c>
      <c r="B10398" t="s">
        <v>3</v>
      </c>
    </row>
    <row r="10399" spans="1:2" x14ac:dyDescent="0.2">
      <c r="A10399" t="str">
        <f>"NCEH1"</f>
        <v>NCEH1</v>
      </c>
      <c r="B10399" t="s">
        <v>5</v>
      </c>
    </row>
    <row r="10400" spans="1:2" x14ac:dyDescent="0.2">
      <c r="A10400" t="str">
        <f>"NCF1"</f>
        <v>NCF1</v>
      </c>
      <c r="B10400" t="s">
        <v>3</v>
      </c>
    </row>
    <row r="10401" spans="1:2" x14ac:dyDescent="0.2">
      <c r="A10401" t="str">
        <f>"NCF2"</f>
        <v>NCF2</v>
      </c>
      <c r="B10401" t="s">
        <v>2</v>
      </c>
    </row>
    <row r="10402" spans="1:2" x14ac:dyDescent="0.2">
      <c r="A10402" t="str">
        <f>"NCF4"</f>
        <v>NCF4</v>
      </c>
      <c r="B10402" t="s">
        <v>2</v>
      </c>
    </row>
    <row r="10403" spans="1:2" x14ac:dyDescent="0.2">
      <c r="A10403" t="str">
        <f>"NCK1"</f>
        <v>NCK1</v>
      </c>
      <c r="B10403" t="s">
        <v>3</v>
      </c>
    </row>
    <row r="10404" spans="1:2" x14ac:dyDescent="0.2">
      <c r="A10404" t="str">
        <f>"NCK2"</f>
        <v>NCK2</v>
      </c>
      <c r="B10404" t="s">
        <v>6</v>
      </c>
    </row>
    <row r="10405" spans="1:2" x14ac:dyDescent="0.2">
      <c r="A10405" t="str">
        <f>"NCKAP1"</f>
        <v>NCKAP1</v>
      </c>
      <c r="B10405" t="s">
        <v>2</v>
      </c>
    </row>
    <row r="10406" spans="1:2" x14ac:dyDescent="0.2">
      <c r="A10406" t="str">
        <f>"NCKAP1L"</f>
        <v>NCKAP1L</v>
      </c>
      <c r="B10406" t="s">
        <v>8</v>
      </c>
    </row>
    <row r="10407" spans="1:2" x14ac:dyDescent="0.2">
      <c r="A10407" t="str">
        <f>"NCKAP5"</f>
        <v>NCKAP5</v>
      </c>
      <c r="B10407" t="s">
        <v>4</v>
      </c>
    </row>
    <row r="10408" spans="1:2" x14ac:dyDescent="0.2">
      <c r="A10408" t="str">
        <f>"NCKAP5L"</f>
        <v>NCKAP5L</v>
      </c>
      <c r="B10408" t="s">
        <v>4</v>
      </c>
    </row>
    <row r="10409" spans="1:2" x14ac:dyDescent="0.2">
      <c r="A10409" t="str">
        <f>"NCKIPSD"</f>
        <v>NCKIPSD</v>
      </c>
      <c r="B10409" t="s">
        <v>3</v>
      </c>
    </row>
    <row r="10410" spans="1:2" x14ac:dyDescent="0.2">
      <c r="A10410" t="str">
        <f>"NCL"</f>
        <v>NCL</v>
      </c>
      <c r="B10410" t="s">
        <v>3</v>
      </c>
    </row>
    <row r="10411" spans="1:2" x14ac:dyDescent="0.2">
      <c r="A10411" t="str">
        <f>"NCLN"</f>
        <v>NCLN</v>
      </c>
      <c r="B10411" t="s">
        <v>6</v>
      </c>
    </row>
    <row r="10412" spans="1:2" x14ac:dyDescent="0.2">
      <c r="A10412" t="str">
        <f>"NCMAP"</f>
        <v>NCMAP</v>
      </c>
      <c r="B10412" t="s">
        <v>5</v>
      </c>
    </row>
    <row r="10413" spans="1:2" x14ac:dyDescent="0.2">
      <c r="A10413" t="str">
        <f>"NCOA1"</f>
        <v>NCOA1</v>
      </c>
      <c r="B10413" t="s">
        <v>3</v>
      </c>
    </row>
    <row r="10414" spans="1:2" x14ac:dyDescent="0.2">
      <c r="A10414" t="str">
        <f>"NCOA2"</f>
        <v>NCOA2</v>
      </c>
      <c r="B10414" t="s">
        <v>3</v>
      </c>
    </row>
    <row r="10415" spans="1:2" x14ac:dyDescent="0.2">
      <c r="A10415" t="str">
        <f>"NCOA3"</f>
        <v>NCOA3</v>
      </c>
      <c r="B10415" t="s">
        <v>3</v>
      </c>
    </row>
    <row r="10416" spans="1:2" x14ac:dyDescent="0.2">
      <c r="A10416" t="str">
        <f>"NCOA4"</f>
        <v>NCOA4</v>
      </c>
      <c r="B10416" t="s">
        <v>3</v>
      </c>
    </row>
    <row r="10417" spans="1:2" x14ac:dyDescent="0.2">
      <c r="A10417" t="str">
        <f>"NCOA5"</f>
        <v>NCOA5</v>
      </c>
      <c r="B10417" t="s">
        <v>7</v>
      </c>
    </row>
    <row r="10418" spans="1:2" x14ac:dyDescent="0.2">
      <c r="A10418" t="str">
        <f>"NCOA6"</f>
        <v>NCOA6</v>
      </c>
      <c r="B10418" t="s">
        <v>3</v>
      </c>
    </row>
    <row r="10419" spans="1:2" x14ac:dyDescent="0.2">
      <c r="A10419" t="str">
        <f>"NCOA7"</f>
        <v>NCOA7</v>
      </c>
      <c r="B10419" t="s">
        <v>6</v>
      </c>
    </row>
    <row r="10420" spans="1:2" x14ac:dyDescent="0.2">
      <c r="A10420" t="str">
        <f>"NCOR1"</f>
        <v>NCOR1</v>
      </c>
      <c r="B10420" t="s">
        <v>3</v>
      </c>
    </row>
    <row r="10421" spans="1:2" x14ac:dyDescent="0.2">
      <c r="A10421" t="str">
        <f>"NCOR2"</f>
        <v>NCOR2</v>
      </c>
      <c r="B10421" t="s">
        <v>3</v>
      </c>
    </row>
    <row r="10422" spans="1:2" x14ac:dyDescent="0.2">
      <c r="A10422" t="str">
        <f>"NCR1"</f>
        <v>NCR1</v>
      </c>
      <c r="B10422" t="s">
        <v>5</v>
      </c>
    </row>
    <row r="10423" spans="1:2" x14ac:dyDescent="0.2">
      <c r="A10423" t="str">
        <f>"NCR2"</f>
        <v>NCR2</v>
      </c>
      <c r="B10423" t="s">
        <v>5</v>
      </c>
    </row>
    <row r="10424" spans="1:2" x14ac:dyDescent="0.2">
      <c r="A10424" t="str">
        <f>"NCR3"</f>
        <v>NCR3</v>
      </c>
      <c r="B10424" t="s">
        <v>5</v>
      </c>
    </row>
    <row r="10425" spans="1:2" x14ac:dyDescent="0.2">
      <c r="A10425" t="str">
        <f>"NCR3LG1"</f>
        <v>NCR3LG1</v>
      </c>
      <c r="B10425" t="s">
        <v>5</v>
      </c>
    </row>
    <row r="10426" spans="1:2" x14ac:dyDescent="0.2">
      <c r="A10426" t="str">
        <f>"NCS1"</f>
        <v>NCS1</v>
      </c>
      <c r="B10426" t="s">
        <v>4</v>
      </c>
    </row>
    <row r="10427" spans="1:2" x14ac:dyDescent="0.2">
      <c r="A10427" t="str">
        <f>"NCSTN"</f>
        <v>NCSTN</v>
      </c>
      <c r="B10427" t="s">
        <v>2</v>
      </c>
    </row>
    <row r="10428" spans="1:2" x14ac:dyDescent="0.2">
      <c r="A10428" t="str">
        <f>"NDC1"</f>
        <v>NDC1</v>
      </c>
      <c r="B10428" t="s">
        <v>4</v>
      </c>
    </row>
    <row r="10429" spans="1:2" x14ac:dyDescent="0.2">
      <c r="A10429" t="str">
        <f>"NDC80"</f>
        <v>NDC80</v>
      </c>
      <c r="B10429" t="s">
        <v>3</v>
      </c>
    </row>
    <row r="10430" spans="1:2" x14ac:dyDescent="0.2">
      <c r="A10430" t="str">
        <f>"NDE1"</f>
        <v>NDE1</v>
      </c>
      <c r="B10430" t="s">
        <v>3</v>
      </c>
    </row>
    <row r="10431" spans="1:2" x14ac:dyDescent="0.2">
      <c r="A10431" t="str">
        <f>"NDEL1"</f>
        <v>NDEL1</v>
      </c>
      <c r="B10431" t="s">
        <v>3</v>
      </c>
    </row>
    <row r="10432" spans="1:2" x14ac:dyDescent="0.2">
      <c r="A10432" t="str">
        <f>"NDFIP1"</f>
        <v>NDFIP1</v>
      </c>
      <c r="B10432" t="s">
        <v>5</v>
      </c>
    </row>
    <row r="10433" spans="1:2" x14ac:dyDescent="0.2">
      <c r="A10433" t="str">
        <f>"NDFIP2"</f>
        <v>NDFIP2</v>
      </c>
      <c r="B10433" t="s">
        <v>6</v>
      </c>
    </row>
    <row r="10434" spans="1:2" x14ac:dyDescent="0.2">
      <c r="A10434" t="str">
        <f>"NDN"</f>
        <v>NDN</v>
      </c>
      <c r="B10434" t="s">
        <v>3</v>
      </c>
    </row>
    <row r="10435" spans="1:2" x14ac:dyDescent="0.2">
      <c r="A10435" t="str">
        <f>"NDNF"</f>
        <v>NDNF</v>
      </c>
      <c r="B10435" t="s">
        <v>4</v>
      </c>
    </row>
    <row r="10436" spans="1:2" x14ac:dyDescent="0.2">
      <c r="A10436" t="str">
        <f>"NDNL2"</f>
        <v>NDNL2</v>
      </c>
      <c r="B10436" t="s">
        <v>8</v>
      </c>
    </row>
    <row r="10437" spans="1:2" x14ac:dyDescent="0.2">
      <c r="A10437" t="str">
        <f>"NDOR1"</f>
        <v>NDOR1</v>
      </c>
      <c r="B10437" t="s">
        <v>4</v>
      </c>
    </row>
    <row r="10438" spans="1:2" x14ac:dyDescent="0.2">
      <c r="A10438" t="str">
        <f>"NDP"</f>
        <v>NDP</v>
      </c>
      <c r="B10438" t="s">
        <v>2</v>
      </c>
    </row>
    <row r="10439" spans="1:2" x14ac:dyDescent="0.2">
      <c r="A10439" t="str">
        <f>"NDRG1"</f>
        <v>NDRG1</v>
      </c>
      <c r="B10439" t="s">
        <v>4</v>
      </c>
    </row>
    <row r="10440" spans="1:2" x14ac:dyDescent="0.2">
      <c r="A10440" t="str">
        <f>"NDRG2"</f>
        <v>NDRG2</v>
      </c>
      <c r="B10440" t="s">
        <v>3</v>
      </c>
    </row>
    <row r="10441" spans="1:2" x14ac:dyDescent="0.2">
      <c r="A10441" t="str">
        <f>"NDRG3"</f>
        <v>NDRG3</v>
      </c>
      <c r="B10441" t="s">
        <v>3</v>
      </c>
    </row>
    <row r="10442" spans="1:2" x14ac:dyDescent="0.2">
      <c r="A10442" t="str">
        <f>"NDRG4"</f>
        <v>NDRG4</v>
      </c>
      <c r="B10442" t="s">
        <v>2</v>
      </c>
    </row>
    <row r="10443" spans="1:2" x14ac:dyDescent="0.2">
      <c r="A10443" t="str">
        <f>"NDST1"</f>
        <v>NDST1</v>
      </c>
      <c r="B10443" t="s">
        <v>7</v>
      </c>
    </row>
    <row r="10444" spans="1:2" x14ac:dyDescent="0.2">
      <c r="A10444" t="str">
        <f>"NDST2"</f>
        <v>NDST2</v>
      </c>
      <c r="B10444" t="s">
        <v>5</v>
      </c>
    </row>
    <row r="10445" spans="1:2" x14ac:dyDescent="0.2">
      <c r="A10445" t="str">
        <f>"NDST3"</f>
        <v>NDST3</v>
      </c>
      <c r="B10445" t="s">
        <v>5</v>
      </c>
    </row>
    <row r="10446" spans="1:2" x14ac:dyDescent="0.2">
      <c r="A10446" t="str">
        <f>"NDST4"</f>
        <v>NDST4</v>
      </c>
      <c r="B10446" t="s">
        <v>5</v>
      </c>
    </row>
    <row r="10447" spans="1:2" x14ac:dyDescent="0.2">
      <c r="A10447" t="str">
        <f>"NDUFA1"</f>
        <v>NDUFA1</v>
      </c>
      <c r="B10447" t="s">
        <v>7</v>
      </c>
    </row>
    <row r="10448" spans="1:2" x14ac:dyDescent="0.2">
      <c r="A10448" t="str">
        <f>"NDUFA10"</f>
        <v>NDUFA10</v>
      </c>
      <c r="B10448" t="s">
        <v>7</v>
      </c>
    </row>
    <row r="10449" spans="1:2" x14ac:dyDescent="0.2">
      <c r="A10449" t="str">
        <f>"NDUFA11"</f>
        <v>NDUFA11</v>
      </c>
      <c r="B10449" t="s">
        <v>7</v>
      </c>
    </row>
    <row r="10450" spans="1:2" x14ac:dyDescent="0.2">
      <c r="A10450" t="str">
        <f>"NDUFA12"</f>
        <v>NDUFA12</v>
      </c>
      <c r="B10450" t="s">
        <v>7</v>
      </c>
    </row>
    <row r="10451" spans="1:2" x14ac:dyDescent="0.2">
      <c r="A10451" t="str">
        <f>"NDUFA13"</f>
        <v>NDUFA13</v>
      </c>
      <c r="B10451" t="s">
        <v>3</v>
      </c>
    </row>
    <row r="10452" spans="1:2" x14ac:dyDescent="0.2">
      <c r="A10452" t="str">
        <f>"NDUFA2"</f>
        <v>NDUFA2</v>
      </c>
      <c r="B10452" t="s">
        <v>7</v>
      </c>
    </row>
    <row r="10453" spans="1:2" x14ac:dyDescent="0.2">
      <c r="A10453" t="str">
        <f>"NDUFA3"</f>
        <v>NDUFA3</v>
      </c>
      <c r="B10453" t="s">
        <v>3</v>
      </c>
    </row>
    <row r="10454" spans="1:2" x14ac:dyDescent="0.2">
      <c r="A10454" t="str">
        <f>"NDUFA4"</f>
        <v>NDUFA4</v>
      </c>
      <c r="B10454" t="s">
        <v>3</v>
      </c>
    </row>
    <row r="10455" spans="1:2" x14ac:dyDescent="0.2">
      <c r="A10455" t="str">
        <f>"NDUFA4L2"</f>
        <v>NDUFA4L2</v>
      </c>
      <c r="B10455" t="s">
        <v>7</v>
      </c>
    </row>
    <row r="10456" spans="1:2" x14ac:dyDescent="0.2">
      <c r="A10456" t="str">
        <f>"NDUFA5"</f>
        <v>NDUFA5</v>
      </c>
      <c r="B10456" t="s">
        <v>7</v>
      </c>
    </row>
    <row r="10457" spans="1:2" x14ac:dyDescent="0.2">
      <c r="A10457" t="str">
        <f>"NDUFA6"</f>
        <v>NDUFA6</v>
      </c>
      <c r="B10457" t="s">
        <v>7</v>
      </c>
    </row>
    <row r="10458" spans="1:2" x14ac:dyDescent="0.2">
      <c r="A10458" t="str">
        <f>"NDUFA7"</f>
        <v>NDUFA7</v>
      </c>
      <c r="B10458" t="s">
        <v>7</v>
      </c>
    </row>
    <row r="10459" spans="1:2" x14ac:dyDescent="0.2">
      <c r="A10459" t="str">
        <f>"NDUFA8"</f>
        <v>NDUFA8</v>
      </c>
      <c r="B10459" t="s">
        <v>7</v>
      </c>
    </row>
    <row r="10460" spans="1:2" x14ac:dyDescent="0.2">
      <c r="A10460" t="str">
        <f>"NDUFA9"</f>
        <v>NDUFA9</v>
      </c>
      <c r="B10460" t="s">
        <v>7</v>
      </c>
    </row>
    <row r="10461" spans="1:2" x14ac:dyDescent="0.2">
      <c r="A10461" t="str">
        <f>"NDUFAB1"</f>
        <v>NDUFAB1</v>
      </c>
      <c r="B10461" t="s">
        <v>7</v>
      </c>
    </row>
    <row r="10462" spans="1:2" x14ac:dyDescent="0.2">
      <c r="A10462" t="str">
        <f>"NDUFAF1"</f>
        <v>NDUFAF1</v>
      </c>
      <c r="B10462" t="s">
        <v>6</v>
      </c>
    </row>
    <row r="10463" spans="1:2" x14ac:dyDescent="0.2">
      <c r="A10463" t="str">
        <f>"NDUFAF2"</f>
        <v>NDUFAF2</v>
      </c>
      <c r="B10463" t="s">
        <v>2</v>
      </c>
    </row>
    <row r="10464" spans="1:2" x14ac:dyDescent="0.2">
      <c r="A10464" t="str">
        <f>"NDUFAF3"</f>
        <v>NDUFAF3</v>
      </c>
      <c r="B10464" t="s">
        <v>6</v>
      </c>
    </row>
    <row r="10465" spans="1:2" x14ac:dyDescent="0.2">
      <c r="A10465" t="str">
        <f>"NDUFAF4"</f>
        <v>NDUFAF4</v>
      </c>
      <c r="B10465" t="s">
        <v>6</v>
      </c>
    </row>
    <row r="10466" spans="1:2" x14ac:dyDescent="0.2">
      <c r="A10466" t="str">
        <f>"NDUFAF5"</f>
        <v>NDUFAF5</v>
      </c>
      <c r="B10466" t="s">
        <v>6</v>
      </c>
    </row>
    <row r="10467" spans="1:2" x14ac:dyDescent="0.2">
      <c r="A10467" t="str">
        <f>"NDUFAF6"</f>
        <v>NDUFAF6</v>
      </c>
      <c r="B10467" t="s">
        <v>6</v>
      </c>
    </row>
    <row r="10468" spans="1:2" x14ac:dyDescent="0.2">
      <c r="A10468" t="str">
        <f>"NDUFAF7"</f>
        <v>NDUFAF7</v>
      </c>
      <c r="B10468" t="s">
        <v>6</v>
      </c>
    </row>
    <row r="10469" spans="1:2" x14ac:dyDescent="0.2">
      <c r="A10469" t="str">
        <f>"NDUFB1"</f>
        <v>NDUFB1</v>
      </c>
      <c r="B10469" t="s">
        <v>7</v>
      </c>
    </row>
    <row r="10470" spans="1:2" x14ac:dyDescent="0.2">
      <c r="A10470" t="str">
        <f>"NDUFB10"</f>
        <v>NDUFB10</v>
      </c>
      <c r="B10470" t="s">
        <v>7</v>
      </c>
    </row>
    <row r="10471" spans="1:2" x14ac:dyDescent="0.2">
      <c r="A10471" t="str">
        <f>"NDUFB11"</f>
        <v>NDUFB11</v>
      </c>
      <c r="B10471" t="s">
        <v>6</v>
      </c>
    </row>
    <row r="10472" spans="1:2" x14ac:dyDescent="0.2">
      <c r="A10472" t="str">
        <f>"NDUFB2"</f>
        <v>NDUFB2</v>
      </c>
      <c r="B10472" t="s">
        <v>3</v>
      </c>
    </row>
    <row r="10473" spans="1:2" x14ac:dyDescent="0.2">
      <c r="A10473" t="str">
        <f>"NDUFB3"</f>
        <v>NDUFB3</v>
      </c>
      <c r="B10473" t="s">
        <v>7</v>
      </c>
    </row>
    <row r="10474" spans="1:2" x14ac:dyDescent="0.2">
      <c r="A10474" t="str">
        <f>"NDUFB4"</f>
        <v>NDUFB4</v>
      </c>
      <c r="B10474" t="s">
        <v>7</v>
      </c>
    </row>
    <row r="10475" spans="1:2" x14ac:dyDescent="0.2">
      <c r="A10475" t="str">
        <f>"NDUFB5"</f>
        <v>NDUFB5</v>
      </c>
      <c r="B10475" t="s">
        <v>7</v>
      </c>
    </row>
    <row r="10476" spans="1:2" x14ac:dyDescent="0.2">
      <c r="A10476" t="str">
        <f>"NDUFB6"</f>
        <v>NDUFB6</v>
      </c>
      <c r="B10476" t="s">
        <v>7</v>
      </c>
    </row>
    <row r="10477" spans="1:2" x14ac:dyDescent="0.2">
      <c r="A10477" t="str">
        <f>"NDUFB7"</f>
        <v>NDUFB7</v>
      </c>
      <c r="B10477" t="s">
        <v>7</v>
      </c>
    </row>
    <row r="10478" spans="1:2" x14ac:dyDescent="0.2">
      <c r="A10478" t="str">
        <f>"NDUFB8"</f>
        <v>NDUFB8</v>
      </c>
      <c r="B10478" t="s">
        <v>3</v>
      </c>
    </row>
    <row r="10479" spans="1:2" x14ac:dyDescent="0.2">
      <c r="A10479" t="str">
        <f>"NDUFB9"</f>
        <v>NDUFB9</v>
      </c>
      <c r="B10479" t="s">
        <v>7</v>
      </c>
    </row>
    <row r="10480" spans="1:2" x14ac:dyDescent="0.2">
      <c r="A10480" t="str">
        <f>"NDUFC1"</f>
        <v>NDUFC1</v>
      </c>
      <c r="B10480" t="s">
        <v>7</v>
      </c>
    </row>
    <row r="10481" spans="1:2" x14ac:dyDescent="0.2">
      <c r="A10481" t="str">
        <f>"NDUFC2"</f>
        <v>NDUFC2</v>
      </c>
      <c r="B10481" t="s">
        <v>7</v>
      </c>
    </row>
    <row r="10482" spans="1:2" x14ac:dyDescent="0.2">
      <c r="A10482" t="str">
        <f>"NDUFC2-KCTD14"</f>
        <v>NDUFC2-KCTD14</v>
      </c>
      <c r="B10482" t="s">
        <v>4</v>
      </c>
    </row>
    <row r="10483" spans="1:2" x14ac:dyDescent="0.2">
      <c r="A10483" t="str">
        <f>"NDUFS1"</f>
        <v>NDUFS1</v>
      </c>
      <c r="B10483" t="s">
        <v>7</v>
      </c>
    </row>
    <row r="10484" spans="1:2" x14ac:dyDescent="0.2">
      <c r="A10484" t="str">
        <f>"NDUFS2"</f>
        <v>NDUFS2</v>
      </c>
      <c r="B10484" t="s">
        <v>7</v>
      </c>
    </row>
    <row r="10485" spans="1:2" x14ac:dyDescent="0.2">
      <c r="A10485" t="str">
        <f>"NDUFS3"</f>
        <v>NDUFS3</v>
      </c>
      <c r="B10485" t="s">
        <v>7</v>
      </c>
    </row>
    <row r="10486" spans="1:2" x14ac:dyDescent="0.2">
      <c r="A10486" t="str">
        <f>"NDUFS4"</f>
        <v>NDUFS4</v>
      </c>
      <c r="B10486" t="s">
        <v>7</v>
      </c>
    </row>
    <row r="10487" spans="1:2" x14ac:dyDescent="0.2">
      <c r="A10487" t="str">
        <f>"NDUFS5"</f>
        <v>NDUFS5</v>
      </c>
      <c r="B10487" t="s">
        <v>7</v>
      </c>
    </row>
    <row r="10488" spans="1:2" x14ac:dyDescent="0.2">
      <c r="A10488" t="str">
        <f>"NDUFS6"</f>
        <v>NDUFS6</v>
      </c>
      <c r="B10488" t="s">
        <v>7</v>
      </c>
    </row>
    <row r="10489" spans="1:2" x14ac:dyDescent="0.2">
      <c r="A10489" t="str">
        <f>"NDUFS7"</f>
        <v>NDUFS7</v>
      </c>
      <c r="B10489" t="s">
        <v>3</v>
      </c>
    </row>
    <row r="10490" spans="1:2" x14ac:dyDescent="0.2">
      <c r="A10490" t="str">
        <f>"NDUFS8"</f>
        <v>NDUFS8</v>
      </c>
      <c r="B10490" t="s">
        <v>7</v>
      </c>
    </row>
    <row r="10491" spans="1:2" x14ac:dyDescent="0.2">
      <c r="A10491" t="str">
        <f>"NDUFV1"</f>
        <v>NDUFV1</v>
      </c>
      <c r="B10491" t="s">
        <v>7</v>
      </c>
    </row>
    <row r="10492" spans="1:2" x14ac:dyDescent="0.2">
      <c r="A10492" t="str">
        <f>"NDUFV2"</f>
        <v>NDUFV2</v>
      </c>
      <c r="B10492" t="s">
        <v>7</v>
      </c>
    </row>
    <row r="10493" spans="1:2" x14ac:dyDescent="0.2">
      <c r="A10493" t="str">
        <f>"NDUFV3"</f>
        <v>NDUFV3</v>
      </c>
      <c r="B10493" t="s">
        <v>7</v>
      </c>
    </row>
    <row r="10494" spans="1:2" x14ac:dyDescent="0.2">
      <c r="A10494" t="str">
        <f>"NEB"</f>
        <v>NEB</v>
      </c>
      <c r="B10494" t="s">
        <v>6</v>
      </c>
    </row>
    <row r="10495" spans="1:2" x14ac:dyDescent="0.2">
      <c r="A10495" t="str">
        <f>"NEBL"</f>
        <v>NEBL</v>
      </c>
      <c r="B10495" t="s">
        <v>6</v>
      </c>
    </row>
    <row r="10496" spans="1:2" x14ac:dyDescent="0.2">
      <c r="A10496" t="str">
        <f>"NECAB1"</f>
        <v>NECAB1</v>
      </c>
      <c r="B10496" t="s">
        <v>4</v>
      </c>
    </row>
    <row r="10497" spans="1:2" x14ac:dyDescent="0.2">
      <c r="A10497" t="str">
        <f>"NECAB2"</f>
        <v>NECAB2</v>
      </c>
      <c r="B10497" t="s">
        <v>4</v>
      </c>
    </row>
    <row r="10498" spans="1:2" x14ac:dyDescent="0.2">
      <c r="A10498" t="str">
        <f>"NECAB3"</f>
        <v>NECAB3</v>
      </c>
      <c r="B10498" t="s">
        <v>6</v>
      </c>
    </row>
    <row r="10499" spans="1:2" x14ac:dyDescent="0.2">
      <c r="A10499" t="str">
        <f>"NECAP1"</f>
        <v>NECAP1</v>
      </c>
      <c r="B10499" t="s">
        <v>2</v>
      </c>
    </row>
    <row r="10500" spans="1:2" x14ac:dyDescent="0.2">
      <c r="A10500" t="str">
        <f>"NECAP2"</f>
        <v>NECAP2</v>
      </c>
      <c r="B10500" t="s">
        <v>6</v>
      </c>
    </row>
    <row r="10501" spans="1:2" x14ac:dyDescent="0.2">
      <c r="A10501" t="str">
        <f>"NEDD1"</f>
        <v>NEDD1</v>
      </c>
      <c r="B10501" t="s">
        <v>4</v>
      </c>
    </row>
    <row r="10502" spans="1:2" x14ac:dyDescent="0.2">
      <c r="A10502" t="str">
        <f>"NEDD4"</f>
        <v>NEDD4</v>
      </c>
      <c r="B10502" t="s">
        <v>3</v>
      </c>
    </row>
    <row r="10503" spans="1:2" x14ac:dyDescent="0.2">
      <c r="A10503" t="str">
        <f>"NEDD4L"</f>
        <v>NEDD4L</v>
      </c>
      <c r="B10503" t="s">
        <v>2</v>
      </c>
    </row>
    <row r="10504" spans="1:2" x14ac:dyDescent="0.2">
      <c r="A10504" t="str">
        <f>"NEDD8"</f>
        <v>NEDD8</v>
      </c>
      <c r="B10504" t="s">
        <v>2</v>
      </c>
    </row>
    <row r="10505" spans="1:2" x14ac:dyDescent="0.2">
      <c r="A10505" t="str">
        <f>"NEDD8-MDP1"</f>
        <v>NEDD8-MDP1</v>
      </c>
      <c r="B10505" t="s">
        <v>7</v>
      </c>
    </row>
    <row r="10506" spans="1:2" x14ac:dyDescent="0.2">
      <c r="A10506" t="str">
        <f>"NEDD9"</f>
        <v>NEDD9</v>
      </c>
      <c r="B10506" t="s">
        <v>3</v>
      </c>
    </row>
    <row r="10507" spans="1:2" x14ac:dyDescent="0.2">
      <c r="A10507" t="str">
        <f>"NEFH"</f>
        <v>NEFH</v>
      </c>
      <c r="B10507" t="s">
        <v>6</v>
      </c>
    </row>
    <row r="10508" spans="1:2" x14ac:dyDescent="0.2">
      <c r="A10508" t="str">
        <f>"NEFL"</f>
        <v>NEFL</v>
      </c>
      <c r="B10508" t="s">
        <v>6</v>
      </c>
    </row>
    <row r="10509" spans="1:2" x14ac:dyDescent="0.2">
      <c r="A10509" t="str">
        <f>"NEFM"</f>
        <v>NEFM</v>
      </c>
      <c r="B10509" t="s">
        <v>6</v>
      </c>
    </row>
    <row r="10510" spans="1:2" x14ac:dyDescent="0.2">
      <c r="A10510" t="str">
        <f>"NEGR1"</f>
        <v>NEGR1</v>
      </c>
      <c r="B10510" t="s">
        <v>5</v>
      </c>
    </row>
    <row r="10511" spans="1:2" x14ac:dyDescent="0.2">
      <c r="A10511" t="str">
        <f>"NEIL1"</f>
        <v>NEIL1</v>
      </c>
      <c r="B10511" t="s">
        <v>3</v>
      </c>
    </row>
    <row r="10512" spans="1:2" x14ac:dyDescent="0.2">
      <c r="A10512" t="str">
        <f>"NEIL2"</f>
        <v>NEIL2</v>
      </c>
      <c r="B10512" t="s">
        <v>3</v>
      </c>
    </row>
    <row r="10513" spans="1:2" x14ac:dyDescent="0.2">
      <c r="A10513" t="str">
        <f>"NEIL3"</f>
        <v>NEIL3</v>
      </c>
      <c r="B10513" t="s">
        <v>3</v>
      </c>
    </row>
    <row r="10514" spans="1:2" x14ac:dyDescent="0.2">
      <c r="A10514" t="str">
        <f>"NEK1"</f>
        <v>NEK1</v>
      </c>
      <c r="B10514" t="s">
        <v>7</v>
      </c>
    </row>
    <row r="10515" spans="1:2" x14ac:dyDescent="0.2">
      <c r="A10515" t="str">
        <f>"NEK10"</f>
        <v>NEK10</v>
      </c>
      <c r="B10515" t="s">
        <v>7</v>
      </c>
    </row>
    <row r="10516" spans="1:2" x14ac:dyDescent="0.2">
      <c r="A10516" t="str">
        <f>"NEK11"</f>
        <v>NEK11</v>
      </c>
      <c r="B10516" t="s">
        <v>7</v>
      </c>
    </row>
    <row r="10517" spans="1:2" x14ac:dyDescent="0.2">
      <c r="A10517" t="str">
        <f>"NEK2"</f>
        <v>NEK2</v>
      </c>
      <c r="B10517" t="s">
        <v>7</v>
      </c>
    </row>
    <row r="10518" spans="1:2" x14ac:dyDescent="0.2">
      <c r="A10518" t="str">
        <f>"NEK3"</f>
        <v>NEK3</v>
      </c>
      <c r="B10518" t="s">
        <v>7</v>
      </c>
    </row>
    <row r="10519" spans="1:2" x14ac:dyDescent="0.2">
      <c r="A10519" t="str">
        <f>"NEK4"</f>
        <v>NEK4</v>
      </c>
      <c r="B10519" t="s">
        <v>7</v>
      </c>
    </row>
    <row r="10520" spans="1:2" x14ac:dyDescent="0.2">
      <c r="A10520" t="str">
        <f>"NEK5"</f>
        <v>NEK5</v>
      </c>
      <c r="B10520" t="s">
        <v>7</v>
      </c>
    </row>
    <row r="10521" spans="1:2" x14ac:dyDescent="0.2">
      <c r="A10521" t="str">
        <f>"NEK6"</f>
        <v>NEK6</v>
      </c>
      <c r="B10521" t="s">
        <v>7</v>
      </c>
    </row>
    <row r="10522" spans="1:2" x14ac:dyDescent="0.2">
      <c r="A10522" t="str">
        <f>"NEK7"</f>
        <v>NEK7</v>
      </c>
      <c r="B10522" t="s">
        <v>7</v>
      </c>
    </row>
    <row r="10523" spans="1:2" x14ac:dyDescent="0.2">
      <c r="A10523" t="str">
        <f>"NEK8"</f>
        <v>NEK8</v>
      </c>
      <c r="B10523" t="s">
        <v>7</v>
      </c>
    </row>
    <row r="10524" spans="1:2" x14ac:dyDescent="0.2">
      <c r="A10524" t="str">
        <f>"NEK9"</f>
        <v>NEK9</v>
      </c>
      <c r="B10524" t="s">
        <v>7</v>
      </c>
    </row>
    <row r="10525" spans="1:2" x14ac:dyDescent="0.2">
      <c r="A10525" t="str">
        <f>"NELFA"</f>
        <v>NELFA</v>
      </c>
      <c r="B10525" t="s">
        <v>2</v>
      </c>
    </row>
    <row r="10526" spans="1:2" x14ac:dyDescent="0.2">
      <c r="A10526" t="str">
        <f>"NELFB"</f>
        <v>NELFB</v>
      </c>
      <c r="B10526" t="s">
        <v>8</v>
      </c>
    </row>
    <row r="10527" spans="1:2" x14ac:dyDescent="0.2">
      <c r="A10527" t="str">
        <f>"NELFCD"</f>
        <v>NELFCD</v>
      </c>
      <c r="B10527" t="s">
        <v>8</v>
      </c>
    </row>
    <row r="10528" spans="1:2" x14ac:dyDescent="0.2">
      <c r="A10528" t="str">
        <f>"NELFE"</f>
        <v>NELFE</v>
      </c>
      <c r="B10528" t="s">
        <v>6</v>
      </c>
    </row>
    <row r="10529" spans="1:2" x14ac:dyDescent="0.2">
      <c r="A10529" t="str">
        <f>"NELL1"</f>
        <v>NELL1</v>
      </c>
      <c r="B10529" t="s">
        <v>4</v>
      </c>
    </row>
    <row r="10530" spans="1:2" x14ac:dyDescent="0.2">
      <c r="A10530" t="str">
        <f>"NELL2"</f>
        <v>NELL2</v>
      </c>
      <c r="B10530" t="s">
        <v>3</v>
      </c>
    </row>
    <row r="10531" spans="1:2" x14ac:dyDescent="0.2">
      <c r="A10531" t="str">
        <f>"NEMF"</f>
        <v>NEMF</v>
      </c>
      <c r="B10531" t="s">
        <v>8</v>
      </c>
    </row>
    <row r="10532" spans="1:2" x14ac:dyDescent="0.2">
      <c r="A10532" t="str">
        <f>"NENF"</f>
        <v>NENF</v>
      </c>
      <c r="B10532" t="s">
        <v>4</v>
      </c>
    </row>
    <row r="10533" spans="1:2" x14ac:dyDescent="0.2">
      <c r="A10533" t="str">
        <f>"NEO1"</f>
        <v>NEO1</v>
      </c>
      <c r="B10533" t="s">
        <v>8</v>
      </c>
    </row>
    <row r="10534" spans="1:2" x14ac:dyDescent="0.2">
      <c r="A10534" t="str">
        <f>"NES"</f>
        <v>NES</v>
      </c>
      <c r="B10534" t="s">
        <v>3</v>
      </c>
    </row>
    <row r="10535" spans="1:2" x14ac:dyDescent="0.2">
      <c r="A10535" t="str">
        <f>"NET1"</f>
        <v>NET1</v>
      </c>
      <c r="B10535" t="s">
        <v>6</v>
      </c>
    </row>
    <row r="10536" spans="1:2" x14ac:dyDescent="0.2">
      <c r="A10536" t="str">
        <f>"NETO1"</f>
        <v>NETO1</v>
      </c>
      <c r="B10536" t="s">
        <v>5</v>
      </c>
    </row>
    <row r="10537" spans="1:2" x14ac:dyDescent="0.2">
      <c r="A10537" t="str">
        <f>"NETO2"</f>
        <v>NETO2</v>
      </c>
      <c r="B10537" t="s">
        <v>5</v>
      </c>
    </row>
    <row r="10538" spans="1:2" x14ac:dyDescent="0.2">
      <c r="A10538" t="str">
        <f>"NEU1"</f>
        <v>NEU1</v>
      </c>
      <c r="B10538" t="s">
        <v>7</v>
      </c>
    </row>
    <row r="10539" spans="1:2" x14ac:dyDescent="0.2">
      <c r="A10539" t="str">
        <f>"NEU2"</f>
        <v>NEU2</v>
      </c>
      <c r="B10539" t="s">
        <v>7</v>
      </c>
    </row>
    <row r="10540" spans="1:2" x14ac:dyDescent="0.2">
      <c r="A10540" t="str">
        <f>"NEU3"</f>
        <v>NEU3</v>
      </c>
      <c r="B10540" t="s">
        <v>3</v>
      </c>
    </row>
    <row r="10541" spans="1:2" x14ac:dyDescent="0.2">
      <c r="A10541" t="str">
        <f>"NEU4"</f>
        <v>NEU4</v>
      </c>
      <c r="B10541" t="s">
        <v>2</v>
      </c>
    </row>
    <row r="10542" spans="1:2" x14ac:dyDescent="0.2">
      <c r="A10542" t="str">
        <f>"NEURL"</f>
        <v>NEURL</v>
      </c>
      <c r="B10542" t="s">
        <v>3</v>
      </c>
    </row>
    <row r="10543" spans="1:2" x14ac:dyDescent="0.2">
      <c r="A10543" t="str">
        <f>"NEURL1B"</f>
        <v>NEURL1B</v>
      </c>
      <c r="B10543" t="s">
        <v>2</v>
      </c>
    </row>
    <row r="10544" spans="1:2" x14ac:dyDescent="0.2">
      <c r="A10544" t="str">
        <f>"NEURL2"</f>
        <v>NEURL2</v>
      </c>
      <c r="B10544" t="s">
        <v>2</v>
      </c>
    </row>
    <row r="10545" spans="1:2" x14ac:dyDescent="0.2">
      <c r="A10545" t="str">
        <f>"NEURL4"</f>
        <v>NEURL4</v>
      </c>
      <c r="B10545" t="s">
        <v>3</v>
      </c>
    </row>
    <row r="10546" spans="1:2" x14ac:dyDescent="0.2">
      <c r="A10546" t="str">
        <f>"NEUROD1"</f>
        <v>NEUROD1</v>
      </c>
      <c r="B10546" t="s">
        <v>2</v>
      </c>
    </row>
    <row r="10547" spans="1:2" x14ac:dyDescent="0.2">
      <c r="A10547" t="str">
        <f>"NEUROD2"</f>
        <v>NEUROD2</v>
      </c>
      <c r="B10547" t="s">
        <v>2</v>
      </c>
    </row>
    <row r="10548" spans="1:2" x14ac:dyDescent="0.2">
      <c r="A10548" t="str">
        <f>"NEUROD4"</f>
        <v>NEUROD4</v>
      </c>
      <c r="B10548" t="s">
        <v>2</v>
      </c>
    </row>
    <row r="10549" spans="1:2" x14ac:dyDescent="0.2">
      <c r="A10549" t="str">
        <f>"NEUROD6"</f>
        <v>NEUROD6</v>
      </c>
      <c r="B10549" t="s">
        <v>2</v>
      </c>
    </row>
    <row r="10550" spans="1:2" x14ac:dyDescent="0.2">
      <c r="A10550" t="str">
        <f>"NEUROG1"</f>
        <v>NEUROG1</v>
      </c>
      <c r="B10550" t="s">
        <v>2</v>
      </c>
    </row>
    <row r="10551" spans="1:2" x14ac:dyDescent="0.2">
      <c r="A10551" t="str">
        <f>"NEUROG2"</f>
        <v>NEUROG2</v>
      </c>
      <c r="B10551" t="s">
        <v>2</v>
      </c>
    </row>
    <row r="10552" spans="1:2" x14ac:dyDescent="0.2">
      <c r="A10552" t="str">
        <f>"NEUROG3"</f>
        <v>NEUROG3</v>
      </c>
      <c r="B10552" t="s">
        <v>2</v>
      </c>
    </row>
    <row r="10553" spans="1:2" x14ac:dyDescent="0.2">
      <c r="A10553" t="str">
        <f>"NEXN"</f>
        <v>NEXN</v>
      </c>
      <c r="B10553" t="s">
        <v>6</v>
      </c>
    </row>
    <row r="10554" spans="1:2" x14ac:dyDescent="0.2">
      <c r="A10554" t="str">
        <f>"NF1"</f>
        <v>NF1</v>
      </c>
      <c r="B10554" t="s">
        <v>3</v>
      </c>
    </row>
    <row r="10555" spans="1:2" x14ac:dyDescent="0.2">
      <c r="A10555" t="str">
        <f>"NF2"</f>
        <v>NF2</v>
      </c>
      <c r="B10555" t="s">
        <v>3</v>
      </c>
    </row>
    <row r="10556" spans="1:2" x14ac:dyDescent="0.2">
      <c r="A10556" t="str">
        <f>"NFAM1"</f>
        <v>NFAM1</v>
      </c>
      <c r="B10556" t="s">
        <v>2</v>
      </c>
    </row>
    <row r="10557" spans="1:2" x14ac:dyDescent="0.2">
      <c r="A10557" t="str">
        <f>"NFASC"</f>
        <v>NFASC</v>
      </c>
      <c r="B10557" t="s">
        <v>5</v>
      </c>
    </row>
    <row r="10558" spans="1:2" x14ac:dyDescent="0.2">
      <c r="A10558" t="str">
        <f>"NFAT5"</f>
        <v>NFAT5</v>
      </c>
      <c r="B10558" t="s">
        <v>8</v>
      </c>
    </row>
    <row r="10559" spans="1:2" x14ac:dyDescent="0.2">
      <c r="A10559" t="str">
        <f>"NFATC1"</f>
        <v>NFATC1</v>
      </c>
      <c r="B10559" t="s">
        <v>3</v>
      </c>
    </row>
    <row r="10560" spans="1:2" x14ac:dyDescent="0.2">
      <c r="A10560" t="str">
        <f>"NFATC2"</f>
        <v>NFATC2</v>
      </c>
      <c r="B10560" t="s">
        <v>8</v>
      </c>
    </row>
    <row r="10561" spans="1:2" x14ac:dyDescent="0.2">
      <c r="A10561" t="str">
        <f>"NFATC2IP"</f>
        <v>NFATC2IP</v>
      </c>
      <c r="B10561" t="s">
        <v>2</v>
      </c>
    </row>
    <row r="10562" spans="1:2" x14ac:dyDescent="0.2">
      <c r="A10562" t="str">
        <f>"NFATC3"</f>
        <v>NFATC3</v>
      </c>
      <c r="B10562" t="s">
        <v>2</v>
      </c>
    </row>
    <row r="10563" spans="1:2" x14ac:dyDescent="0.2">
      <c r="A10563" t="str">
        <f>"NFATC4"</f>
        <v>NFATC4</v>
      </c>
      <c r="B10563" t="s">
        <v>8</v>
      </c>
    </row>
    <row r="10564" spans="1:2" x14ac:dyDescent="0.2">
      <c r="A10564" t="str">
        <f>"NFE2"</f>
        <v>NFE2</v>
      </c>
      <c r="B10564" t="s">
        <v>8</v>
      </c>
    </row>
    <row r="10565" spans="1:2" x14ac:dyDescent="0.2">
      <c r="A10565" t="str">
        <f>"NFE2L1"</f>
        <v>NFE2L1</v>
      </c>
      <c r="B10565" t="s">
        <v>2</v>
      </c>
    </row>
    <row r="10566" spans="1:2" x14ac:dyDescent="0.2">
      <c r="A10566" t="str">
        <f>"NFE2L2"</f>
        <v>NFE2L2</v>
      </c>
      <c r="B10566" t="s">
        <v>2</v>
      </c>
    </row>
    <row r="10567" spans="1:2" x14ac:dyDescent="0.2">
      <c r="A10567" t="str">
        <f>"NFE2L3"</f>
        <v>NFE2L3</v>
      </c>
      <c r="B10567" t="s">
        <v>2</v>
      </c>
    </row>
    <row r="10568" spans="1:2" x14ac:dyDescent="0.2">
      <c r="A10568" t="str">
        <f>"NFE4"</f>
        <v>NFE4</v>
      </c>
      <c r="B10568" t="s">
        <v>4</v>
      </c>
    </row>
    <row r="10569" spans="1:2" x14ac:dyDescent="0.2">
      <c r="A10569" t="str">
        <f>"NFIA"</f>
        <v>NFIA</v>
      </c>
      <c r="B10569" t="s">
        <v>8</v>
      </c>
    </row>
    <row r="10570" spans="1:2" x14ac:dyDescent="0.2">
      <c r="A10570" t="str">
        <f>"NFIB"</f>
        <v>NFIB</v>
      </c>
      <c r="B10570" t="s">
        <v>8</v>
      </c>
    </row>
    <row r="10571" spans="1:2" x14ac:dyDescent="0.2">
      <c r="A10571" t="str">
        <f>"NFIC"</f>
        <v>NFIC</v>
      </c>
      <c r="B10571" t="s">
        <v>8</v>
      </c>
    </row>
    <row r="10572" spans="1:2" x14ac:dyDescent="0.2">
      <c r="A10572" t="str">
        <f>"NFIL3"</f>
        <v>NFIL3</v>
      </c>
      <c r="B10572" t="s">
        <v>8</v>
      </c>
    </row>
    <row r="10573" spans="1:2" x14ac:dyDescent="0.2">
      <c r="A10573" t="str">
        <f>"NFIX"</f>
        <v>NFIX</v>
      </c>
      <c r="B10573" t="s">
        <v>8</v>
      </c>
    </row>
    <row r="10574" spans="1:2" x14ac:dyDescent="0.2">
      <c r="A10574" t="str">
        <f>"NFKB1"</f>
        <v>NFKB1</v>
      </c>
      <c r="B10574" t="s">
        <v>3</v>
      </c>
    </row>
    <row r="10575" spans="1:2" x14ac:dyDescent="0.2">
      <c r="A10575" t="str">
        <f>"NFKB2"</f>
        <v>NFKB2</v>
      </c>
      <c r="B10575" t="s">
        <v>3</v>
      </c>
    </row>
    <row r="10576" spans="1:2" x14ac:dyDescent="0.2">
      <c r="A10576" t="str">
        <f>"NFKBIA"</f>
        <v>NFKBIA</v>
      </c>
      <c r="B10576" t="s">
        <v>3</v>
      </c>
    </row>
    <row r="10577" spans="1:2" x14ac:dyDescent="0.2">
      <c r="A10577" t="str">
        <f>"NFKBIB"</f>
        <v>NFKBIB</v>
      </c>
      <c r="B10577" t="s">
        <v>3</v>
      </c>
    </row>
    <row r="10578" spans="1:2" x14ac:dyDescent="0.2">
      <c r="A10578" t="str">
        <f>"NFKBID"</f>
        <v>NFKBID</v>
      </c>
      <c r="B10578" t="s">
        <v>4</v>
      </c>
    </row>
    <row r="10579" spans="1:2" x14ac:dyDescent="0.2">
      <c r="A10579" t="str">
        <f>"NFKBIE"</f>
        <v>NFKBIE</v>
      </c>
      <c r="B10579" t="s">
        <v>8</v>
      </c>
    </row>
    <row r="10580" spans="1:2" x14ac:dyDescent="0.2">
      <c r="A10580" t="str">
        <f>"NFKBIL1"</f>
        <v>NFKBIL1</v>
      </c>
      <c r="B10580" t="s">
        <v>8</v>
      </c>
    </row>
    <row r="10581" spans="1:2" x14ac:dyDescent="0.2">
      <c r="A10581" t="str">
        <f>"NFKBIZ"</f>
        <v>NFKBIZ</v>
      </c>
      <c r="B10581" t="s">
        <v>8</v>
      </c>
    </row>
    <row r="10582" spans="1:2" x14ac:dyDescent="0.2">
      <c r="A10582" t="str">
        <f>"NFRKB"</f>
        <v>NFRKB</v>
      </c>
      <c r="B10582" t="s">
        <v>8</v>
      </c>
    </row>
    <row r="10583" spans="1:2" x14ac:dyDescent="0.2">
      <c r="A10583" t="str">
        <f>"NFS1"</f>
        <v>NFS1</v>
      </c>
      <c r="B10583" t="s">
        <v>7</v>
      </c>
    </row>
    <row r="10584" spans="1:2" x14ac:dyDescent="0.2">
      <c r="A10584" t="str">
        <f>"NFU1"</f>
        <v>NFU1</v>
      </c>
      <c r="B10584" t="s">
        <v>2</v>
      </c>
    </row>
    <row r="10585" spans="1:2" x14ac:dyDescent="0.2">
      <c r="A10585" t="str">
        <f>"NFX1"</f>
        <v>NFX1</v>
      </c>
      <c r="B10585" t="s">
        <v>2</v>
      </c>
    </row>
    <row r="10586" spans="1:2" x14ac:dyDescent="0.2">
      <c r="A10586" t="str">
        <f>"NFXL1"</f>
        <v>NFXL1</v>
      </c>
      <c r="B10586" t="s">
        <v>2</v>
      </c>
    </row>
    <row r="10587" spans="1:2" x14ac:dyDescent="0.2">
      <c r="A10587" t="str">
        <f>"NFYA"</f>
        <v>NFYA</v>
      </c>
      <c r="B10587" t="s">
        <v>8</v>
      </c>
    </row>
    <row r="10588" spans="1:2" x14ac:dyDescent="0.2">
      <c r="A10588" t="str">
        <f>"NFYB"</f>
        <v>NFYB</v>
      </c>
      <c r="B10588" t="s">
        <v>8</v>
      </c>
    </row>
    <row r="10589" spans="1:2" x14ac:dyDescent="0.2">
      <c r="A10589" t="str">
        <f>"NFYC"</f>
        <v>NFYC</v>
      </c>
      <c r="B10589" t="s">
        <v>2</v>
      </c>
    </row>
    <row r="10590" spans="1:2" x14ac:dyDescent="0.2">
      <c r="A10590" t="str">
        <f>"NGB"</f>
        <v>NGB</v>
      </c>
      <c r="B10590" t="s">
        <v>7</v>
      </c>
    </row>
    <row r="10591" spans="1:2" x14ac:dyDescent="0.2">
      <c r="A10591" t="str">
        <f>"NGDN"</f>
        <v>NGDN</v>
      </c>
      <c r="B10591" t="s">
        <v>2</v>
      </c>
    </row>
    <row r="10592" spans="1:2" x14ac:dyDescent="0.2">
      <c r="A10592" t="str">
        <f>"NGEF"</f>
        <v>NGEF</v>
      </c>
      <c r="B10592" t="s">
        <v>3</v>
      </c>
    </row>
    <row r="10593" spans="1:2" x14ac:dyDescent="0.2">
      <c r="A10593" t="str">
        <f>"NGF"</f>
        <v>NGF</v>
      </c>
      <c r="B10593" t="s">
        <v>7</v>
      </c>
    </row>
    <row r="10594" spans="1:2" x14ac:dyDescent="0.2">
      <c r="A10594" t="str">
        <f>"NGFR"</f>
        <v>NGFR</v>
      </c>
      <c r="B10594" t="s">
        <v>2</v>
      </c>
    </row>
    <row r="10595" spans="1:2" x14ac:dyDescent="0.2">
      <c r="A10595" t="str">
        <f>"NGFRAP1"</f>
        <v>NGFRAP1</v>
      </c>
      <c r="B10595" t="s">
        <v>3</v>
      </c>
    </row>
    <row r="10596" spans="1:2" x14ac:dyDescent="0.2">
      <c r="A10596" t="str">
        <f>"NGLY1"</f>
        <v>NGLY1</v>
      </c>
      <c r="B10596" t="s">
        <v>6</v>
      </c>
    </row>
    <row r="10597" spans="1:2" x14ac:dyDescent="0.2">
      <c r="A10597" t="str">
        <f>"NGRN"</f>
        <v>NGRN</v>
      </c>
      <c r="B10597" t="s">
        <v>4</v>
      </c>
    </row>
    <row r="10598" spans="1:2" x14ac:dyDescent="0.2">
      <c r="A10598" t="str">
        <f>"NHEJ1"</f>
        <v>NHEJ1</v>
      </c>
      <c r="B10598" t="s">
        <v>3</v>
      </c>
    </row>
    <row r="10599" spans="1:2" x14ac:dyDescent="0.2">
      <c r="A10599" t="str">
        <f>"NHLH1"</f>
        <v>NHLH1</v>
      </c>
      <c r="B10599" t="s">
        <v>8</v>
      </c>
    </row>
    <row r="10600" spans="1:2" x14ac:dyDescent="0.2">
      <c r="A10600" t="str">
        <f>"NHLH2"</f>
        <v>NHLH2</v>
      </c>
      <c r="B10600" t="s">
        <v>8</v>
      </c>
    </row>
    <row r="10601" spans="1:2" x14ac:dyDescent="0.2">
      <c r="A10601" t="str">
        <f>"NHLRC1"</f>
        <v>NHLRC1</v>
      </c>
      <c r="B10601" t="s">
        <v>2</v>
      </c>
    </row>
    <row r="10602" spans="1:2" x14ac:dyDescent="0.2">
      <c r="A10602" t="str">
        <f>"NHLRC2"</f>
        <v>NHLRC2</v>
      </c>
      <c r="B10602" t="s">
        <v>4</v>
      </c>
    </row>
    <row r="10603" spans="1:2" x14ac:dyDescent="0.2">
      <c r="A10603" t="str">
        <f>"NHLRC3"</f>
        <v>NHLRC3</v>
      </c>
      <c r="B10603" t="s">
        <v>4</v>
      </c>
    </row>
    <row r="10604" spans="1:2" x14ac:dyDescent="0.2">
      <c r="A10604" t="str">
        <f>"NHLRC4"</f>
        <v>NHLRC4</v>
      </c>
      <c r="B10604" t="s">
        <v>4</v>
      </c>
    </row>
    <row r="10605" spans="1:2" x14ac:dyDescent="0.2">
      <c r="A10605" t="str">
        <f>"NHP2"</f>
        <v>NHP2</v>
      </c>
      <c r="B10605" t="s">
        <v>6</v>
      </c>
    </row>
    <row r="10606" spans="1:2" x14ac:dyDescent="0.2">
      <c r="A10606" t="str">
        <f>"NHP2L1"</f>
        <v>NHP2L1</v>
      </c>
      <c r="B10606" t="s">
        <v>7</v>
      </c>
    </row>
    <row r="10607" spans="1:2" x14ac:dyDescent="0.2">
      <c r="A10607" t="str">
        <f>"NHS"</f>
        <v>NHS</v>
      </c>
      <c r="B10607" t="s">
        <v>4</v>
      </c>
    </row>
    <row r="10608" spans="1:2" x14ac:dyDescent="0.2">
      <c r="A10608" t="str">
        <f>"NHSL1"</f>
        <v>NHSL1</v>
      </c>
      <c r="B10608" t="s">
        <v>4</v>
      </c>
    </row>
    <row r="10609" spans="1:2" x14ac:dyDescent="0.2">
      <c r="A10609" t="str">
        <f>"NHSL2"</f>
        <v>NHSL2</v>
      </c>
      <c r="B10609" t="s">
        <v>4</v>
      </c>
    </row>
    <row r="10610" spans="1:2" x14ac:dyDescent="0.2">
      <c r="A10610" t="str">
        <f>"NICN1"</f>
        <v>NICN1</v>
      </c>
      <c r="B10610" t="s">
        <v>6</v>
      </c>
    </row>
    <row r="10611" spans="1:2" x14ac:dyDescent="0.2">
      <c r="A10611" t="str">
        <f>"NID1"</f>
        <v>NID1</v>
      </c>
      <c r="B10611" t="s">
        <v>7</v>
      </c>
    </row>
    <row r="10612" spans="1:2" x14ac:dyDescent="0.2">
      <c r="A10612" t="str">
        <f>"NID2"</f>
        <v>NID2</v>
      </c>
      <c r="B10612" t="s">
        <v>4</v>
      </c>
    </row>
    <row r="10613" spans="1:2" x14ac:dyDescent="0.2">
      <c r="A10613" t="str">
        <f>"NIF3L1"</f>
        <v>NIF3L1</v>
      </c>
      <c r="B10613" t="s">
        <v>6</v>
      </c>
    </row>
    <row r="10614" spans="1:2" x14ac:dyDescent="0.2">
      <c r="A10614" t="str">
        <f>"NIM1"</f>
        <v>NIM1</v>
      </c>
      <c r="B10614" t="s">
        <v>7</v>
      </c>
    </row>
    <row r="10615" spans="1:2" x14ac:dyDescent="0.2">
      <c r="A10615" t="str">
        <f>"NIN"</f>
        <v>NIN</v>
      </c>
      <c r="B10615" t="s">
        <v>3</v>
      </c>
    </row>
    <row r="10616" spans="1:2" x14ac:dyDescent="0.2">
      <c r="A10616" t="str">
        <f>"NINJ1"</f>
        <v>NINJ1</v>
      </c>
      <c r="B10616" t="s">
        <v>5</v>
      </c>
    </row>
    <row r="10617" spans="1:2" x14ac:dyDescent="0.2">
      <c r="A10617" t="str">
        <f>"NINJ2"</f>
        <v>NINJ2</v>
      </c>
      <c r="B10617" t="s">
        <v>5</v>
      </c>
    </row>
    <row r="10618" spans="1:2" x14ac:dyDescent="0.2">
      <c r="A10618" t="str">
        <f>"NINL"</f>
        <v>NINL</v>
      </c>
      <c r="B10618" t="s">
        <v>3</v>
      </c>
    </row>
    <row r="10619" spans="1:2" x14ac:dyDescent="0.2">
      <c r="A10619" t="str">
        <f>"NIP7"</f>
        <v>NIP7</v>
      </c>
      <c r="B10619" t="s">
        <v>8</v>
      </c>
    </row>
    <row r="10620" spans="1:2" x14ac:dyDescent="0.2">
      <c r="A10620" t="str">
        <f>"NIPA1"</f>
        <v>NIPA1</v>
      </c>
      <c r="B10620" t="s">
        <v>5</v>
      </c>
    </row>
    <row r="10621" spans="1:2" x14ac:dyDescent="0.2">
      <c r="A10621" t="str">
        <f>"NIPA2"</f>
        <v>NIPA2</v>
      </c>
      <c r="B10621" t="s">
        <v>5</v>
      </c>
    </row>
    <row r="10622" spans="1:2" x14ac:dyDescent="0.2">
      <c r="A10622" t="str">
        <f>"NIPAL1"</f>
        <v>NIPAL1</v>
      </c>
      <c r="B10622" t="s">
        <v>5</v>
      </c>
    </row>
    <row r="10623" spans="1:2" x14ac:dyDescent="0.2">
      <c r="A10623" t="str">
        <f>"NIPAL2"</f>
        <v>NIPAL2</v>
      </c>
      <c r="B10623" t="s">
        <v>5</v>
      </c>
    </row>
    <row r="10624" spans="1:2" x14ac:dyDescent="0.2">
      <c r="A10624" t="str">
        <f>"NIPAL3"</f>
        <v>NIPAL3</v>
      </c>
      <c r="B10624" t="s">
        <v>5</v>
      </c>
    </row>
    <row r="10625" spans="1:2" x14ac:dyDescent="0.2">
      <c r="A10625" t="str">
        <f>"NIPAL4"</f>
        <v>NIPAL4</v>
      </c>
      <c r="B10625" t="s">
        <v>5</v>
      </c>
    </row>
    <row r="10626" spans="1:2" x14ac:dyDescent="0.2">
      <c r="A10626" t="str">
        <f>"NIPBL"</f>
        <v>NIPBL</v>
      </c>
      <c r="B10626" t="s">
        <v>3</v>
      </c>
    </row>
    <row r="10627" spans="1:2" x14ac:dyDescent="0.2">
      <c r="A10627" t="str">
        <f>"NIPSNAP1"</f>
        <v>NIPSNAP1</v>
      </c>
      <c r="B10627" t="s">
        <v>6</v>
      </c>
    </row>
    <row r="10628" spans="1:2" x14ac:dyDescent="0.2">
      <c r="A10628" t="str">
        <f>"NIPSNAP3A"</f>
        <v>NIPSNAP3A</v>
      </c>
      <c r="B10628" t="s">
        <v>6</v>
      </c>
    </row>
    <row r="10629" spans="1:2" x14ac:dyDescent="0.2">
      <c r="A10629" t="str">
        <f>"NIPSNAP3B"</f>
        <v>NIPSNAP3B</v>
      </c>
      <c r="B10629" t="s">
        <v>6</v>
      </c>
    </row>
    <row r="10630" spans="1:2" x14ac:dyDescent="0.2">
      <c r="A10630" t="str">
        <f>"NISCH"</f>
        <v>NISCH</v>
      </c>
      <c r="B10630" t="s">
        <v>7</v>
      </c>
    </row>
    <row r="10631" spans="1:2" x14ac:dyDescent="0.2">
      <c r="A10631" t="str">
        <f>"NIT1"</f>
        <v>NIT1</v>
      </c>
      <c r="B10631" t="s">
        <v>6</v>
      </c>
    </row>
    <row r="10632" spans="1:2" x14ac:dyDescent="0.2">
      <c r="A10632" t="str">
        <f>"NIT2"</f>
        <v>NIT2</v>
      </c>
      <c r="B10632" t="s">
        <v>6</v>
      </c>
    </row>
    <row r="10633" spans="1:2" x14ac:dyDescent="0.2">
      <c r="A10633" t="str">
        <f>"NKAIN1"</f>
        <v>NKAIN1</v>
      </c>
      <c r="B10633" t="s">
        <v>5</v>
      </c>
    </row>
    <row r="10634" spans="1:2" x14ac:dyDescent="0.2">
      <c r="A10634" t="str">
        <f>"NKAIN2"</f>
        <v>NKAIN2</v>
      </c>
      <c r="B10634" t="s">
        <v>5</v>
      </c>
    </row>
    <row r="10635" spans="1:2" x14ac:dyDescent="0.2">
      <c r="A10635" t="str">
        <f>"NKAIN3"</f>
        <v>NKAIN3</v>
      </c>
      <c r="B10635" t="s">
        <v>5</v>
      </c>
    </row>
    <row r="10636" spans="1:2" x14ac:dyDescent="0.2">
      <c r="A10636" t="str">
        <f>"NKAIN4"</f>
        <v>NKAIN4</v>
      </c>
      <c r="B10636" t="s">
        <v>5</v>
      </c>
    </row>
    <row r="10637" spans="1:2" x14ac:dyDescent="0.2">
      <c r="A10637" t="str">
        <f>"NKAP"</f>
        <v>NKAP</v>
      </c>
      <c r="B10637" t="s">
        <v>4</v>
      </c>
    </row>
    <row r="10638" spans="1:2" x14ac:dyDescent="0.2">
      <c r="A10638" t="str">
        <f>"NKAPL"</f>
        <v>NKAPL</v>
      </c>
      <c r="B10638" t="s">
        <v>4</v>
      </c>
    </row>
    <row r="10639" spans="1:2" x14ac:dyDescent="0.2">
      <c r="A10639" t="str">
        <f>"NKD1"</f>
        <v>NKD1</v>
      </c>
      <c r="B10639" t="s">
        <v>4</v>
      </c>
    </row>
    <row r="10640" spans="1:2" x14ac:dyDescent="0.2">
      <c r="A10640" t="str">
        <f>"NKD2"</f>
        <v>NKD2</v>
      </c>
      <c r="B10640" t="s">
        <v>6</v>
      </c>
    </row>
    <row r="10641" spans="1:2" x14ac:dyDescent="0.2">
      <c r="A10641" t="str">
        <f>"NKG7"</f>
        <v>NKG7</v>
      </c>
      <c r="B10641" t="s">
        <v>5</v>
      </c>
    </row>
    <row r="10642" spans="1:2" x14ac:dyDescent="0.2">
      <c r="A10642" t="str">
        <f>"NKIRAS1"</f>
        <v>NKIRAS1</v>
      </c>
      <c r="B10642" t="s">
        <v>6</v>
      </c>
    </row>
    <row r="10643" spans="1:2" x14ac:dyDescent="0.2">
      <c r="A10643" t="str">
        <f>"NKIRAS2"</f>
        <v>NKIRAS2</v>
      </c>
      <c r="B10643" t="s">
        <v>6</v>
      </c>
    </row>
    <row r="10644" spans="1:2" x14ac:dyDescent="0.2">
      <c r="A10644" t="str">
        <f>"NKPD1"</f>
        <v>NKPD1</v>
      </c>
      <c r="B10644" t="s">
        <v>5</v>
      </c>
    </row>
    <row r="10645" spans="1:2" x14ac:dyDescent="0.2">
      <c r="A10645" t="str">
        <f>"NKRF"</f>
        <v>NKRF</v>
      </c>
      <c r="B10645" t="s">
        <v>8</v>
      </c>
    </row>
    <row r="10646" spans="1:2" x14ac:dyDescent="0.2">
      <c r="A10646" t="str">
        <f>"NKTR"</f>
        <v>NKTR</v>
      </c>
      <c r="B10646" t="s">
        <v>2</v>
      </c>
    </row>
    <row r="10647" spans="1:2" x14ac:dyDescent="0.2">
      <c r="A10647" t="str">
        <f>"NKX1-1"</f>
        <v>NKX1-1</v>
      </c>
      <c r="B10647" t="s">
        <v>4</v>
      </c>
    </row>
    <row r="10648" spans="1:2" x14ac:dyDescent="0.2">
      <c r="A10648" t="str">
        <f>"NKX1-2"</f>
        <v>NKX1-2</v>
      </c>
      <c r="B10648" t="s">
        <v>8</v>
      </c>
    </row>
    <row r="10649" spans="1:2" x14ac:dyDescent="0.2">
      <c r="A10649" t="str">
        <f>"NKX2-1"</f>
        <v>NKX2-1</v>
      </c>
      <c r="B10649" t="s">
        <v>3</v>
      </c>
    </row>
    <row r="10650" spans="1:2" x14ac:dyDescent="0.2">
      <c r="A10650" t="str">
        <f>"NKX2-2"</f>
        <v>NKX2-2</v>
      </c>
      <c r="B10650" t="s">
        <v>2</v>
      </c>
    </row>
    <row r="10651" spans="1:2" x14ac:dyDescent="0.2">
      <c r="A10651" t="str">
        <f>"NKX2-3"</f>
        <v>NKX2-3</v>
      </c>
      <c r="B10651" t="s">
        <v>8</v>
      </c>
    </row>
    <row r="10652" spans="1:2" x14ac:dyDescent="0.2">
      <c r="A10652" t="str">
        <f>"NKX2-4"</f>
        <v>NKX2-4</v>
      </c>
      <c r="B10652" t="s">
        <v>8</v>
      </c>
    </row>
    <row r="10653" spans="1:2" x14ac:dyDescent="0.2">
      <c r="A10653" t="str">
        <f>"NKX2-5"</f>
        <v>NKX2-5</v>
      </c>
      <c r="B10653" t="s">
        <v>8</v>
      </c>
    </row>
    <row r="10654" spans="1:2" x14ac:dyDescent="0.2">
      <c r="A10654" t="str">
        <f>"NKX2-6"</f>
        <v>NKX2-6</v>
      </c>
      <c r="B10654" t="s">
        <v>8</v>
      </c>
    </row>
    <row r="10655" spans="1:2" x14ac:dyDescent="0.2">
      <c r="A10655" t="str">
        <f>"NKX2-8"</f>
        <v>NKX2-8</v>
      </c>
      <c r="B10655" t="s">
        <v>8</v>
      </c>
    </row>
    <row r="10656" spans="1:2" x14ac:dyDescent="0.2">
      <c r="A10656" t="str">
        <f>"NKX3-1"</f>
        <v>NKX3-1</v>
      </c>
      <c r="B10656" t="s">
        <v>8</v>
      </c>
    </row>
    <row r="10657" spans="1:2" x14ac:dyDescent="0.2">
      <c r="A10657" t="str">
        <f>"NKX3-2"</f>
        <v>NKX3-2</v>
      </c>
      <c r="B10657" t="s">
        <v>3</v>
      </c>
    </row>
    <row r="10658" spans="1:2" x14ac:dyDescent="0.2">
      <c r="A10658" t="str">
        <f>"NKX6-1"</f>
        <v>NKX6-1</v>
      </c>
      <c r="B10658" t="s">
        <v>2</v>
      </c>
    </row>
    <row r="10659" spans="1:2" x14ac:dyDescent="0.2">
      <c r="A10659" t="str">
        <f>"NKX6-2"</f>
        <v>NKX6-2</v>
      </c>
      <c r="B10659" t="s">
        <v>8</v>
      </c>
    </row>
    <row r="10660" spans="1:2" x14ac:dyDescent="0.2">
      <c r="A10660" t="str">
        <f>"NKX6-3"</f>
        <v>NKX6-3</v>
      </c>
      <c r="B10660" t="s">
        <v>8</v>
      </c>
    </row>
    <row r="10661" spans="1:2" x14ac:dyDescent="0.2">
      <c r="A10661" t="str">
        <f>"NLE1"</f>
        <v>NLE1</v>
      </c>
      <c r="B10661" t="s">
        <v>8</v>
      </c>
    </row>
    <row r="10662" spans="1:2" x14ac:dyDescent="0.2">
      <c r="A10662" t="str">
        <f>"NLGN1"</f>
        <v>NLGN1</v>
      </c>
      <c r="B10662" t="s">
        <v>2</v>
      </c>
    </row>
    <row r="10663" spans="1:2" x14ac:dyDescent="0.2">
      <c r="A10663" t="str">
        <f>"NLGN2"</f>
        <v>NLGN2</v>
      </c>
      <c r="B10663" t="s">
        <v>5</v>
      </c>
    </row>
    <row r="10664" spans="1:2" x14ac:dyDescent="0.2">
      <c r="A10664" t="str">
        <f>"NLGN3"</f>
        <v>NLGN3</v>
      </c>
      <c r="B10664" t="s">
        <v>5</v>
      </c>
    </row>
    <row r="10665" spans="1:2" x14ac:dyDescent="0.2">
      <c r="A10665" t="str">
        <f>"NLGN4X"</f>
        <v>NLGN4X</v>
      </c>
      <c r="B10665" t="s">
        <v>5</v>
      </c>
    </row>
    <row r="10666" spans="1:2" x14ac:dyDescent="0.2">
      <c r="A10666" t="str">
        <f>"NLGN4Y"</f>
        <v>NLGN4Y</v>
      </c>
      <c r="B10666" t="s">
        <v>5</v>
      </c>
    </row>
    <row r="10667" spans="1:2" x14ac:dyDescent="0.2">
      <c r="A10667" t="str">
        <f>"NLK"</f>
        <v>NLK</v>
      </c>
      <c r="B10667" t="s">
        <v>7</v>
      </c>
    </row>
    <row r="10668" spans="1:2" x14ac:dyDescent="0.2">
      <c r="A10668" t="str">
        <f>"NLN"</f>
        <v>NLN</v>
      </c>
      <c r="B10668" t="s">
        <v>2</v>
      </c>
    </row>
    <row r="10669" spans="1:2" x14ac:dyDescent="0.2">
      <c r="A10669" t="str">
        <f>"NLRC3"</f>
        <v>NLRC3</v>
      </c>
      <c r="B10669" t="s">
        <v>8</v>
      </c>
    </row>
    <row r="10670" spans="1:2" x14ac:dyDescent="0.2">
      <c r="A10670" t="str">
        <f>"NLRC4"</f>
        <v>NLRC4</v>
      </c>
      <c r="B10670" t="s">
        <v>3</v>
      </c>
    </row>
    <row r="10671" spans="1:2" x14ac:dyDescent="0.2">
      <c r="A10671" t="str">
        <f>"NLRC5"</f>
        <v>NLRC5</v>
      </c>
      <c r="B10671" t="s">
        <v>8</v>
      </c>
    </row>
    <row r="10672" spans="1:2" x14ac:dyDescent="0.2">
      <c r="A10672" t="str">
        <f>"NLRP1"</f>
        <v>NLRP1</v>
      </c>
      <c r="B10672" t="s">
        <v>3</v>
      </c>
    </row>
    <row r="10673" spans="1:2" x14ac:dyDescent="0.2">
      <c r="A10673" t="str">
        <f>"NLRP10"</f>
        <v>NLRP10</v>
      </c>
      <c r="B10673" t="s">
        <v>3</v>
      </c>
    </row>
    <row r="10674" spans="1:2" x14ac:dyDescent="0.2">
      <c r="A10674" t="str">
        <f>"NLRP11"</f>
        <v>NLRP11</v>
      </c>
      <c r="B10674" t="s">
        <v>4</v>
      </c>
    </row>
    <row r="10675" spans="1:2" x14ac:dyDescent="0.2">
      <c r="A10675" t="str">
        <f>"NLRP12"</f>
        <v>NLRP12</v>
      </c>
      <c r="B10675" t="s">
        <v>3</v>
      </c>
    </row>
    <row r="10676" spans="1:2" x14ac:dyDescent="0.2">
      <c r="A10676" t="str">
        <f>"NLRP13"</f>
        <v>NLRP13</v>
      </c>
      <c r="B10676" t="s">
        <v>4</v>
      </c>
    </row>
    <row r="10677" spans="1:2" x14ac:dyDescent="0.2">
      <c r="A10677" t="str">
        <f>"NLRP14"</f>
        <v>NLRP14</v>
      </c>
      <c r="B10677" t="s">
        <v>2</v>
      </c>
    </row>
    <row r="10678" spans="1:2" x14ac:dyDescent="0.2">
      <c r="A10678" t="str">
        <f>"NLRP2"</f>
        <v>NLRP2</v>
      </c>
      <c r="B10678" t="s">
        <v>3</v>
      </c>
    </row>
    <row r="10679" spans="1:2" x14ac:dyDescent="0.2">
      <c r="A10679" t="str">
        <f>"NLRP3"</f>
        <v>NLRP3</v>
      </c>
      <c r="B10679" t="s">
        <v>3</v>
      </c>
    </row>
    <row r="10680" spans="1:2" x14ac:dyDescent="0.2">
      <c r="A10680" t="str">
        <f>"NLRP4"</f>
        <v>NLRP4</v>
      </c>
      <c r="B10680" t="s">
        <v>3</v>
      </c>
    </row>
    <row r="10681" spans="1:2" x14ac:dyDescent="0.2">
      <c r="A10681" t="str">
        <f>"NLRP5"</f>
        <v>NLRP5</v>
      </c>
      <c r="B10681" t="s">
        <v>6</v>
      </c>
    </row>
    <row r="10682" spans="1:2" x14ac:dyDescent="0.2">
      <c r="A10682" t="str">
        <f>"NLRP6"</f>
        <v>NLRP6</v>
      </c>
      <c r="B10682" t="s">
        <v>5</v>
      </c>
    </row>
    <row r="10683" spans="1:2" x14ac:dyDescent="0.2">
      <c r="A10683" t="str">
        <f>"NLRP7"</f>
        <v>NLRP7</v>
      </c>
      <c r="B10683" t="s">
        <v>4</v>
      </c>
    </row>
    <row r="10684" spans="1:2" x14ac:dyDescent="0.2">
      <c r="A10684" t="str">
        <f>"NLRP8"</f>
        <v>NLRP8</v>
      </c>
      <c r="B10684" t="s">
        <v>4</v>
      </c>
    </row>
    <row r="10685" spans="1:2" x14ac:dyDescent="0.2">
      <c r="A10685" t="str">
        <f>"NLRP9"</f>
        <v>NLRP9</v>
      </c>
      <c r="B10685" t="s">
        <v>4</v>
      </c>
    </row>
    <row r="10686" spans="1:2" x14ac:dyDescent="0.2">
      <c r="A10686" t="str">
        <f>"NLRX1"</f>
        <v>NLRX1</v>
      </c>
      <c r="B10686" t="s">
        <v>6</v>
      </c>
    </row>
    <row r="10687" spans="1:2" x14ac:dyDescent="0.2">
      <c r="A10687" t="str">
        <f>"NMB"</f>
        <v>NMB</v>
      </c>
      <c r="B10687" t="s">
        <v>4</v>
      </c>
    </row>
    <row r="10688" spans="1:2" x14ac:dyDescent="0.2">
      <c r="A10688" t="str">
        <f>"NMBR"</f>
        <v>NMBR</v>
      </c>
      <c r="B10688" t="s">
        <v>3</v>
      </c>
    </row>
    <row r="10689" spans="1:2" x14ac:dyDescent="0.2">
      <c r="A10689" t="str">
        <f>"NMD3"</f>
        <v>NMD3</v>
      </c>
      <c r="B10689" t="s">
        <v>8</v>
      </c>
    </row>
    <row r="10690" spans="1:2" x14ac:dyDescent="0.2">
      <c r="A10690" t="str">
        <f>"NME1"</f>
        <v>NME1</v>
      </c>
      <c r="B10690" t="s">
        <v>7</v>
      </c>
    </row>
    <row r="10691" spans="1:2" x14ac:dyDescent="0.2">
      <c r="A10691" t="str">
        <f>"NME1-NME2"</f>
        <v>NME1-NME2</v>
      </c>
      <c r="B10691" t="s">
        <v>6</v>
      </c>
    </row>
    <row r="10692" spans="1:2" x14ac:dyDescent="0.2">
      <c r="A10692" t="str">
        <f>"NME2"</f>
        <v>NME2</v>
      </c>
      <c r="B10692" t="s">
        <v>7</v>
      </c>
    </row>
    <row r="10693" spans="1:2" x14ac:dyDescent="0.2">
      <c r="A10693" t="str">
        <f>"NME3"</f>
        <v>NME3</v>
      </c>
      <c r="B10693" t="s">
        <v>7</v>
      </c>
    </row>
    <row r="10694" spans="1:2" x14ac:dyDescent="0.2">
      <c r="A10694" t="str">
        <f>"NME4"</f>
        <v>NME4</v>
      </c>
      <c r="B10694" t="s">
        <v>7</v>
      </c>
    </row>
    <row r="10695" spans="1:2" x14ac:dyDescent="0.2">
      <c r="A10695" t="str">
        <f>"NME5"</f>
        <v>NME5</v>
      </c>
      <c r="B10695" t="s">
        <v>7</v>
      </c>
    </row>
    <row r="10696" spans="1:2" x14ac:dyDescent="0.2">
      <c r="A10696" t="str">
        <f>"NME6"</f>
        <v>NME6</v>
      </c>
      <c r="B10696" t="s">
        <v>7</v>
      </c>
    </row>
    <row r="10697" spans="1:2" x14ac:dyDescent="0.2">
      <c r="A10697" t="str">
        <f>"NME7"</f>
        <v>NME7</v>
      </c>
      <c r="B10697" t="s">
        <v>7</v>
      </c>
    </row>
    <row r="10698" spans="1:2" x14ac:dyDescent="0.2">
      <c r="A10698" t="str">
        <f>"NME8"</f>
        <v>NME8</v>
      </c>
      <c r="B10698" t="s">
        <v>4</v>
      </c>
    </row>
    <row r="10699" spans="1:2" x14ac:dyDescent="0.2">
      <c r="A10699" t="str">
        <f>"NME9"</f>
        <v>NME9</v>
      </c>
      <c r="B10699" t="s">
        <v>6</v>
      </c>
    </row>
    <row r="10700" spans="1:2" x14ac:dyDescent="0.2">
      <c r="A10700" t="str">
        <f>"NMI"</f>
        <v>NMI</v>
      </c>
      <c r="B10700" t="s">
        <v>8</v>
      </c>
    </row>
    <row r="10701" spans="1:2" x14ac:dyDescent="0.2">
      <c r="A10701" t="str">
        <f>"NMNAT1"</f>
        <v>NMNAT1</v>
      </c>
      <c r="B10701" t="s">
        <v>7</v>
      </c>
    </row>
    <row r="10702" spans="1:2" x14ac:dyDescent="0.2">
      <c r="A10702" t="str">
        <f>"NMNAT2"</f>
        <v>NMNAT2</v>
      </c>
      <c r="B10702" t="s">
        <v>3</v>
      </c>
    </row>
    <row r="10703" spans="1:2" x14ac:dyDescent="0.2">
      <c r="A10703" t="str">
        <f>"NMNAT3"</f>
        <v>NMNAT3</v>
      </c>
      <c r="B10703" t="s">
        <v>7</v>
      </c>
    </row>
    <row r="10704" spans="1:2" x14ac:dyDescent="0.2">
      <c r="A10704" t="str">
        <f>"NMRAL1"</f>
        <v>NMRAL1</v>
      </c>
      <c r="B10704" t="s">
        <v>7</v>
      </c>
    </row>
    <row r="10705" spans="1:2" x14ac:dyDescent="0.2">
      <c r="A10705" t="str">
        <f>"NMRK1"</f>
        <v>NMRK1</v>
      </c>
      <c r="B10705" t="s">
        <v>3</v>
      </c>
    </row>
    <row r="10706" spans="1:2" x14ac:dyDescent="0.2">
      <c r="A10706" t="str">
        <f>"NMRK2"</f>
        <v>NMRK2</v>
      </c>
      <c r="B10706" t="s">
        <v>3</v>
      </c>
    </row>
    <row r="10707" spans="1:2" x14ac:dyDescent="0.2">
      <c r="A10707" t="str">
        <f>"NMS"</f>
        <v>NMS</v>
      </c>
      <c r="B10707" t="s">
        <v>4</v>
      </c>
    </row>
    <row r="10708" spans="1:2" x14ac:dyDescent="0.2">
      <c r="A10708" t="str">
        <f>"NMT1"</f>
        <v>NMT1</v>
      </c>
      <c r="B10708" t="s">
        <v>7</v>
      </c>
    </row>
    <row r="10709" spans="1:2" x14ac:dyDescent="0.2">
      <c r="A10709" t="str">
        <f>"NMT2"</f>
        <v>NMT2</v>
      </c>
      <c r="B10709" t="s">
        <v>7</v>
      </c>
    </row>
    <row r="10710" spans="1:2" x14ac:dyDescent="0.2">
      <c r="A10710" t="str">
        <f>"NMU"</f>
        <v>NMU</v>
      </c>
      <c r="B10710" t="s">
        <v>2</v>
      </c>
    </row>
    <row r="10711" spans="1:2" x14ac:dyDescent="0.2">
      <c r="A10711" t="str">
        <f>"NMUR1"</f>
        <v>NMUR1</v>
      </c>
      <c r="B10711" t="s">
        <v>5</v>
      </c>
    </row>
    <row r="10712" spans="1:2" x14ac:dyDescent="0.2">
      <c r="A10712" t="str">
        <f>"NMUR2"</f>
        <v>NMUR2</v>
      </c>
      <c r="B10712" t="s">
        <v>5</v>
      </c>
    </row>
    <row r="10713" spans="1:2" x14ac:dyDescent="0.2">
      <c r="A10713" t="str">
        <f>"NNAT"</f>
        <v>NNAT</v>
      </c>
      <c r="B10713" t="s">
        <v>5</v>
      </c>
    </row>
    <row r="10714" spans="1:2" x14ac:dyDescent="0.2">
      <c r="A10714" t="str">
        <f>"NNMT"</f>
        <v>NNMT</v>
      </c>
      <c r="B10714" t="s">
        <v>7</v>
      </c>
    </row>
    <row r="10715" spans="1:2" x14ac:dyDescent="0.2">
      <c r="A10715" t="str">
        <f>"NNT"</f>
        <v>NNT</v>
      </c>
      <c r="B10715" t="s">
        <v>7</v>
      </c>
    </row>
    <row r="10716" spans="1:2" x14ac:dyDescent="0.2">
      <c r="A10716" t="str">
        <f>"NOA1"</f>
        <v>NOA1</v>
      </c>
      <c r="B10716" t="s">
        <v>6</v>
      </c>
    </row>
    <row r="10717" spans="1:2" x14ac:dyDescent="0.2">
      <c r="A10717" t="str">
        <f>"NOB1"</f>
        <v>NOB1</v>
      </c>
      <c r="B10717" t="s">
        <v>2</v>
      </c>
    </row>
    <row r="10718" spans="1:2" x14ac:dyDescent="0.2">
      <c r="A10718" t="str">
        <f>"NOBOX"</f>
        <v>NOBOX</v>
      </c>
      <c r="B10718" t="s">
        <v>8</v>
      </c>
    </row>
    <row r="10719" spans="1:2" x14ac:dyDescent="0.2">
      <c r="A10719" t="str">
        <f>"NOC2L"</f>
        <v>NOC2L</v>
      </c>
      <c r="B10719" t="s">
        <v>8</v>
      </c>
    </row>
    <row r="10720" spans="1:2" x14ac:dyDescent="0.2">
      <c r="A10720" t="str">
        <f>"NOC3L"</f>
        <v>NOC3L</v>
      </c>
      <c r="B10720" t="s">
        <v>6</v>
      </c>
    </row>
    <row r="10721" spans="1:2" x14ac:dyDescent="0.2">
      <c r="A10721" t="str">
        <f>"NOC4L"</f>
        <v>NOC4L</v>
      </c>
      <c r="B10721" t="s">
        <v>6</v>
      </c>
    </row>
    <row r="10722" spans="1:2" x14ac:dyDescent="0.2">
      <c r="A10722" t="str">
        <f>"NOD1"</f>
        <v>NOD1</v>
      </c>
      <c r="B10722" t="s">
        <v>3</v>
      </c>
    </row>
    <row r="10723" spans="1:2" x14ac:dyDescent="0.2">
      <c r="A10723" t="str">
        <f>"NOD2"</f>
        <v>NOD2</v>
      </c>
      <c r="B10723" t="s">
        <v>3</v>
      </c>
    </row>
    <row r="10724" spans="1:2" x14ac:dyDescent="0.2">
      <c r="A10724" t="str">
        <f>"NODAL"</f>
        <v>NODAL</v>
      </c>
      <c r="B10724" t="s">
        <v>3</v>
      </c>
    </row>
    <row r="10725" spans="1:2" x14ac:dyDescent="0.2">
      <c r="A10725" t="str">
        <f>"NOG"</f>
        <v>NOG</v>
      </c>
      <c r="B10725" t="s">
        <v>6</v>
      </c>
    </row>
    <row r="10726" spans="1:2" x14ac:dyDescent="0.2">
      <c r="A10726" t="str">
        <f>"NOL10"</f>
        <v>NOL10</v>
      </c>
      <c r="B10726" t="s">
        <v>8</v>
      </c>
    </row>
    <row r="10727" spans="1:2" x14ac:dyDescent="0.2">
      <c r="A10727" t="str">
        <f>"NOL11"</f>
        <v>NOL11</v>
      </c>
      <c r="B10727" t="s">
        <v>4</v>
      </c>
    </row>
    <row r="10728" spans="1:2" x14ac:dyDescent="0.2">
      <c r="A10728" t="str">
        <f>"NOL12"</f>
        <v>NOL12</v>
      </c>
      <c r="B10728" t="s">
        <v>8</v>
      </c>
    </row>
    <row r="10729" spans="1:2" x14ac:dyDescent="0.2">
      <c r="A10729" t="str">
        <f>"NOL3"</f>
        <v>NOL3</v>
      </c>
      <c r="B10729" t="s">
        <v>3</v>
      </c>
    </row>
    <row r="10730" spans="1:2" x14ac:dyDescent="0.2">
      <c r="A10730" t="str">
        <f>"NOL4"</f>
        <v>NOL4</v>
      </c>
      <c r="B10730" t="s">
        <v>8</v>
      </c>
    </row>
    <row r="10731" spans="1:2" x14ac:dyDescent="0.2">
      <c r="A10731" t="str">
        <f>"NOL6"</f>
        <v>NOL6</v>
      </c>
      <c r="B10731" t="s">
        <v>8</v>
      </c>
    </row>
    <row r="10732" spans="1:2" x14ac:dyDescent="0.2">
      <c r="A10732" t="str">
        <f>"NOL7"</f>
        <v>NOL7</v>
      </c>
      <c r="B10732" t="s">
        <v>6</v>
      </c>
    </row>
    <row r="10733" spans="1:2" x14ac:dyDescent="0.2">
      <c r="A10733" t="str">
        <f>"NOL8"</f>
        <v>NOL8</v>
      </c>
      <c r="B10733" t="s">
        <v>2</v>
      </c>
    </row>
    <row r="10734" spans="1:2" x14ac:dyDescent="0.2">
      <c r="A10734" t="str">
        <f>"NOL9"</f>
        <v>NOL9</v>
      </c>
      <c r="B10734" t="s">
        <v>3</v>
      </c>
    </row>
    <row r="10735" spans="1:2" x14ac:dyDescent="0.2">
      <c r="A10735" t="str">
        <f>"NOLC1"</f>
        <v>NOLC1</v>
      </c>
      <c r="B10735" t="s">
        <v>3</v>
      </c>
    </row>
    <row r="10736" spans="1:2" x14ac:dyDescent="0.2">
      <c r="A10736" t="str">
        <f>"NOM1"</f>
        <v>NOM1</v>
      </c>
      <c r="B10736" t="s">
        <v>8</v>
      </c>
    </row>
    <row r="10737" spans="1:2" x14ac:dyDescent="0.2">
      <c r="A10737" t="str">
        <f>"NOMO1"</f>
        <v>NOMO1</v>
      </c>
      <c r="B10737" t="s">
        <v>2</v>
      </c>
    </row>
    <row r="10738" spans="1:2" x14ac:dyDescent="0.2">
      <c r="A10738" t="str">
        <f>"NOMO2"</f>
        <v>NOMO2</v>
      </c>
      <c r="B10738" t="s">
        <v>2</v>
      </c>
    </row>
    <row r="10739" spans="1:2" x14ac:dyDescent="0.2">
      <c r="A10739" t="str">
        <f>"NOMO3"</f>
        <v>NOMO3</v>
      </c>
      <c r="B10739" t="s">
        <v>2</v>
      </c>
    </row>
    <row r="10740" spans="1:2" x14ac:dyDescent="0.2">
      <c r="A10740" t="str">
        <f>"NONO"</f>
        <v>NONO</v>
      </c>
      <c r="B10740" t="s">
        <v>3</v>
      </c>
    </row>
    <row r="10741" spans="1:2" x14ac:dyDescent="0.2">
      <c r="A10741" t="str">
        <f>"NOP10"</f>
        <v>NOP10</v>
      </c>
      <c r="B10741" t="s">
        <v>8</v>
      </c>
    </row>
    <row r="10742" spans="1:2" x14ac:dyDescent="0.2">
      <c r="A10742" t="str">
        <f>"NOP14"</f>
        <v>NOP14</v>
      </c>
      <c r="B10742" t="s">
        <v>2</v>
      </c>
    </row>
    <row r="10743" spans="1:2" x14ac:dyDescent="0.2">
      <c r="A10743" t="str">
        <f>"NOP16"</f>
        <v>NOP16</v>
      </c>
      <c r="B10743" t="s">
        <v>6</v>
      </c>
    </row>
    <row r="10744" spans="1:2" x14ac:dyDescent="0.2">
      <c r="A10744" t="str">
        <f>"NOP2"</f>
        <v>NOP2</v>
      </c>
      <c r="B10744" t="s">
        <v>8</v>
      </c>
    </row>
    <row r="10745" spans="1:2" x14ac:dyDescent="0.2">
      <c r="A10745" t="str">
        <f>"NOP56"</f>
        <v>NOP56</v>
      </c>
      <c r="B10745" t="s">
        <v>8</v>
      </c>
    </row>
    <row r="10746" spans="1:2" x14ac:dyDescent="0.2">
      <c r="A10746" t="str">
        <f>"NOP58"</f>
        <v>NOP58</v>
      </c>
      <c r="B10746" t="s">
        <v>2</v>
      </c>
    </row>
    <row r="10747" spans="1:2" x14ac:dyDescent="0.2">
      <c r="A10747" t="str">
        <f>"NOP9"</f>
        <v>NOP9</v>
      </c>
      <c r="B10747" t="s">
        <v>8</v>
      </c>
    </row>
    <row r="10748" spans="1:2" x14ac:dyDescent="0.2">
      <c r="A10748" t="str">
        <f>"NOS1"</f>
        <v>NOS1</v>
      </c>
      <c r="B10748" t="s">
        <v>3</v>
      </c>
    </row>
    <row r="10749" spans="1:2" x14ac:dyDescent="0.2">
      <c r="A10749" t="str">
        <f>"NOS1AP"</f>
        <v>NOS1AP</v>
      </c>
      <c r="B10749" t="s">
        <v>4</v>
      </c>
    </row>
    <row r="10750" spans="1:2" x14ac:dyDescent="0.2">
      <c r="A10750" t="str">
        <f>"NOS2"</f>
        <v>NOS2</v>
      </c>
      <c r="B10750" t="s">
        <v>3</v>
      </c>
    </row>
    <row r="10751" spans="1:2" x14ac:dyDescent="0.2">
      <c r="A10751" t="str">
        <f>"NOS3"</f>
        <v>NOS3</v>
      </c>
      <c r="B10751" t="s">
        <v>3</v>
      </c>
    </row>
    <row r="10752" spans="1:2" x14ac:dyDescent="0.2">
      <c r="A10752" t="str">
        <f>"NOSIP"</f>
        <v>NOSIP</v>
      </c>
      <c r="B10752" t="s">
        <v>2</v>
      </c>
    </row>
    <row r="10753" spans="1:2" x14ac:dyDescent="0.2">
      <c r="A10753" t="str">
        <f>"NOSTRIN"</f>
        <v>NOSTRIN</v>
      </c>
      <c r="B10753" t="s">
        <v>2</v>
      </c>
    </row>
    <row r="10754" spans="1:2" x14ac:dyDescent="0.2">
      <c r="A10754" t="str">
        <f>"NOTCH1"</f>
        <v>NOTCH1</v>
      </c>
      <c r="B10754" t="s">
        <v>3</v>
      </c>
    </row>
    <row r="10755" spans="1:2" x14ac:dyDescent="0.2">
      <c r="A10755" t="str">
        <f>"NOTCH2"</f>
        <v>NOTCH2</v>
      </c>
      <c r="B10755" t="s">
        <v>3</v>
      </c>
    </row>
    <row r="10756" spans="1:2" x14ac:dyDescent="0.2">
      <c r="A10756" t="str">
        <f>"NOTCH2NL"</f>
        <v>NOTCH2NL</v>
      </c>
      <c r="B10756" t="s">
        <v>3</v>
      </c>
    </row>
    <row r="10757" spans="1:2" x14ac:dyDescent="0.2">
      <c r="A10757" t="str">
        <f>"NOTCH3"</f>
        <v>NOTCH3</v>
      </c>
      <c r="B10757" t="s">
        <v>3</v>
      </c>
    </row>
    <row r="10758" spans="1:2" x14ac:dyDescent="0.2">
      <c r="A10758" t="str">
        <f>"NOTCH4"</f>
        <v>NOTCH4</v>
      </c>
      <c r="B10758" t="s">
        <v>3</v>
      </c>
    </row>
    <row r="10759" spans="1:2" x14ac:dyDescent="0.2">
      <c r="A10759" t="str">
        <f>"NOTO"</f>
        <v>NOTO</v>
      </c>
      <c r="B10759" t="s">
        <v>8</v>
      </c>
    </row>
    <row r="10760" spans="1:2" x14ac:dyDescent="0.2">
      <c r="A10760" t="str">
        <f>"NOTUM"</f>
        <v>NOTUM</v>
      </c>
      <c r="B10760" t="s">
        <v>4</v>
      </c>
    </row>
    <row r="10761" spans="1:2" x14ac:dyDescent="0.2">
      <c r="A10761" t="str">
        <f>"NOV"</f>
        <v>NOV</v>
      </c>
      <c r="B10761" t="s">
        <v>3</v>
      </c>
    </row>
    <row r="10762" spans="1:2" x14ac:dyDescent="0.2">
      <c r="A10762" t="str">
        <f>"NOVA1"</f>
        <v>NOVA1</v>
      </c>
      <c r="B10762" t="s">
        <v>8</v>
      </c>
    </row>
    <row r="10763" spans="1:2" x14ac:dyDescent="0.2">
      <c r="A10763" t="str">
        <f>"NOVA2"</f>
        <v>NOVA2</v>
      </c>
      <c r="B10763" t="s">
        <v>8</v>
      </c>
    </row>
    <row r="10764" spans="1:2" x14ac:dyDescent="0.2">
      <c r="A10764" t="str">
        <f>"NOX1"</f>
        <v>NOX1</v>
      </c>
      <c r="B10764" t="s">
        <v>2</v>
      </c>
    </row>
    <row r="10765" spans="1:2" x14ac:dyDescent="0.2">
      <c r="A10765" t="str">
        <f>"NOX3"</f>
        <v>NOX3</v>
      </c>
      <c r="B10765" t="s">
        <v>5</v>
      </c>
    </row>
    <row r="10766" spans="1:2" x14ac:dyDescent="0.2">
      <c r="A10766" t="str">
        <f>"NOX4"</f>
        <v>NOX4</v>
      </c>
      <c r="B10766" t="s">
        <v>2</v>
      </c>
    </row>
    <row r="10767" spans="1:2" x14ac:dyDescent="0.2">
      <c r="A10767" t="str">
        <f>"NOX5"</f>
        <v>NOX5</v>
      </c>
      <c r="B10767" t="s">
        <v>3</v>
      </c>
    </row>
    <row r="10768" spans="1:2" x14ac:dyDescent="0.2">
      <c r="A10768" t="str">
        <f>"NOXA1"</f>
        <v>NOXA1</v>
      </c>
      <c r="B10768" t="s">
        <v>2</v>
      </c>
    </row>
    <row r="10769" spans="1:2" x14ac:dyDescent="0.2">
      <c r="A10769" t="str">
        <f>"NOXO1"</f>
        <v>NOXO1</v>
      </c>
      <c r="B10769" t="s">
        <v>7</v>
      </c>
    </row>
    <row r="10770" spans="1:2" x14ac:dyDescent="0.2">
      <c r="A10770" t="str">
        <f>"NOXRED1"</f>
        <v>NOXRED1</v>
      </c>
      <c r="B10770" t="s">
        <v>3</v>
      </c>
    </row>
    <row r="10771" spans="1:2" x14ac:dyDescent="0.2">
      <c r="A10771" t="str">
        <f>"NPAP1"</f>
        <v>NPAP1</v>
      </c>
      <c r="B10771" t="s">
        <v>3</v>
      </c>
    </row>
    <row r="10772" spans="1:2" x14ac:dyDescent="0.2">
      <c r="A10772" t="str">
        <f>"NPAS1"</f>
        <v>NPAS1</v>
      </c>
      <c r="B10772" t="s">
        <v>8</v>
      </c>
    </row>
    <row r="10773" spans="1:2" x14ac:dyDescent="0.2">
      <c r="A10773" t="str">
        <f>"NPAS2"</f>
        <v>NPAS2</v>
      </c>
      <c r="B10773" t="s">
        <v>8</v>
      </c>
    </row>
    <row r="10774" spans="1:2" x14ac:dyDescent="0.2">
      <c r="A10774" t="str">
        <f>"NPAS3"</f>
        <v>NPAS3</v>
      </c>
      <c r="B10774" t="s">
        <v>8</v>
      </c>
    </row>
    <row r="10775" spans="1:2" x14ac:dyDescent="0.2">
      <c r="A10775" t="str">
        <f>"NPAS4"</f>
        <v>NPAS4</v>
      </c>
      <c r="B10775" t="s">
        <v>2</v>
      </c>
    </row>
    <row r="10776" spans="1:2" x14ac:dyDescent="0.2">
      <c r="A10776" t="str">
        <f>"NPAT"</f>
        <v>NPAT</v>
      </c>
      <c r="B10776" t="s">
        <v>3</v>
      </c>
    </row>
    <row r="10777" spans="1:2" x14ac:dyDescent="0.2">
      <c r="A10777" t="str">
        <f>"NPB"</f>
        <v>NPB</v>
      </c>
      <c r="B10777" t="s">
        <v>4</v>
      </c>
    </row>
    <row r="10778" spans="1:2" x14ac:dyDescent="0.2">
      <c r="A10778" t="str">
        <f>"NPBWR1"</f>
        <v>NPBWR1</v>
      </c>
      <c r="B10778" t="s">
        <v>5</v>
      </c>
    </row>
    <row r="10779" spans="1:2" x14ac:dyDescent="0.2">
      <c r="A10779" t="str">
        <f>"NPBWR2"</f>
        <v>NPBWR2</v>
      </c>
      <c r="B10779" t="s">
        <v>5</v>
      </c>
    </row>
    <row r="10780" spans="1:2" x14ac:dyDescent="0.2">
      <c r="A10780" t="str">
        <f>"NPC1"</f>
        <v>NPC1</v>
      </c>
      <c r="B10780" t="s">
        <v>2</v>
      </c>
    </row>
    <row r="10781" spans="1:2" x14ac:dyDescent="0.2">
      <c r="A10781" t="str">
        <f>"NPC1L1"</f>
        <v>NPC1L1</v>
      </c>
      <c r="B10781" t="s">
        <v>7</v>
      </c>
    </row>
    <row r="10782" spans="1:2" x14ac:dyDescent="0.2">
      <c r="A10782" t="str">
        <f>"NPC2"</f>
        <v>NPC2</v>
      </c>
      <c r="B10782" t="s">
        <v>2</v>
      </c>
    </row>
    <row r="10783" spans="1:2" x14ac:dyDescent="0.2">
      <c r="A10783" t="str">
        <f>"NPDC1"</f>
        <v>NPDC1</v>
      </c>
      <c r="B10783" t="s">
        <v>5</v>
      </c>
    </row>
    <row r="10784" spans="1:2" x14ac:dyDescent="0.2">
      <c r="A10784" t="str">
        <f>"NPEPL1"</f>
        <v>NPEPL1</v>
      </c>
      <c r="B10784" t="s">
        <v>2</v>
      </c>
    </row>
    <row r="10785" spans="1:2" x14ac:dyDescent="0.2">
      <c r="A10785" t="str">
        <f>"NPEPPS"</f>
        <v>NPEPPS</v>
      </c>
      <c r="B10785" t="s">
        <v>2</v>
      </c>
    </row>
    <row r="10786" spans="1:2" x14ac:dyDescent="0.2">
      <c r="A10786" t="str">
        <f>"NPFF"</f>
        <v>NPFF</v>
      </c>
      <c r="B10786" t="s">
        <v>4</v>
      </c>
    </row>
    <row r="10787" spans="1:2" x14ac:dyDescent="0.2">
      <c r="A10787" t="str">
        <f>"NPFFR1"</f>
        <v>NPFFR1</v>
      </c>
      <c r="B10787" t="s">
        <v>5</v>
      </c>
    </row>
    <row r="10788" spans="1:2" x14ac:dyDescent="0.2">
      <c r="A10788" t="str">
        <f>"NPFFR2"</f>
        <v>NPFFR2</v>
      </c>
      <c r="B10788" t="s">
        <v>5</v>
      </c>
    </row>
    <row r="10789" spans="1:2" x14ac:dyDescent="0.2">
      <c r="A10789" t="str">
        <f>"NPHP1"</f>
        <v>NPHP1</v>
      </c>
      <c r="B10789" t="s">
        <v>6</v>
      </c>
    </row>
    <row r="10790" spans="1:2" x14ac:dyDescent="0.2">
      <c r="A10790" t="str">
        <f>"NPHP3"</f>
        <v>NPHP3</v>
      </c>
      <c r="B10790" t="s">
        <v>2</v>
      </c>
    </row>
    <row r="10791" spans="1:2" x14ac:dyDescent="0.2">
      <c r="A10791" t="str">
        <f>"NPHP4"</f>
        <v>NPHP4</v>
      </c>
      <c r="B10791" t="s">
        <v>6</v>
      </c>
    </row>
    <row r="10792" spans="1:2" x14ac:dyDescent="0.2">
      <c r="A10792" t="str">
        <f>"NPHS1"</f>
        <v>NPHS1</v>
      </c>
      <c r="B10792" t="s">
        <v>2</v>
      </c>
    </row>
    <row r="10793" spans="1:2" x14ac:dyDescent="0.2">
      <c r="A10793" t="str">
        <f>"NPHS2"</f>
        <v>NPHS2</v>
      </c>
      <c r="B10793" t="s">
        <v>6</v>
      </c>
    </row>
    <row r="10794" spans="1:2" x14ac:dyDescent="0.2">
      <c r="A10794" t="str">
        <f>"NPIPA8"</f>
        <v>NPIPA8</v>
      </c>
      <c r="B10794" t="s">
        <v>4</v>
      </c>
    </row>
    <row r="10795" spans="1:2" x14ac:dyDescent="0.2">
      <c r="A10795" t="str">
        <f>"NPL"</f>
        <v>NPL</v>
      </c>
      <c r="B10795" t="s">
        <v>4</v>
      </c>
    </row>
    <row r="10796" spans="1:2" x14ac:dyDescent="0.2">
      <c r="A10796" t="str">
        <f>"NPLOC4"</f>
        <v>NPLOC4</v>
      </c>
      <c r="B10796" t="s">
        <v>2</v>
      </c>
    </row>
    <row r="10797" spans="1:2" x14ac:dyDescent="0.2">
      <c r="A10797" t="str">
        <f>"NPM1"</f>
        <v>NPM1</v>
      </c>
      <c r="B10797" t="s">
        <v>3</v>
      </c>
    </row>
    <row r="10798" spans="1:2" x14ac:dyDescent="0.2">
      <c r="A10798" t="str">
        <f>"NPM2"</f>
        <v>NPM2</v>
      </c>
      <c r="B10798" t="s">
        <v>8</v>
      </c>
    </row>
    <row r="10799" spans="1:2" x14ac:dyDescent="0.2">
      <c r="A10799" t="str">
        <f>"NPM3"</f>
        <v>NPM3</v>
      </c>
      <c r="B10799" t="s">
        <v>8</v>
      </c>
    </row>
    <row r="10800" spans="1:2" x14ac:dyDescent="0.2">
      <c r="A10800" t="str">
        <f>"NPNT"</f>
        <v>NPNT</v>
      </c>
      <c r="B10800" t="s">
        <v>3</v>
      </c>
    </row>
    <row r="10801" spans="1:2" x14ac:dyDescent="0.2">
      <c r="A10801" t="str">
        <f>"NPPA"</f>
        <v>NPPA</v>
      </c>
      <c r="B10801" t="s">
        <v>4</v>
      </c>
    </row>
    <row r="10802" spans="1:2" x14ac:dyDescent="0.2">
      <c r="A10802" t="str">
        <f>"NPPB"</f>
        <v>NPPB</v>
      </c>
      <c r="B10802" t="s">
        <v>7</v>
      </c>
    </row>
    <row r="10803" spans="1:2" x14ac:dyDescent="0.2">
      <c r="A10803" t="str">
        <f>"NPPC"</f>
        <v>NPPC</v>
      </c>
      <c r="B10803" t="s">
        <v>4</v>
      </c>
    </row>
    <row r="10804" spans="1:2" x14ac:dyDescent="0.2">
      <c r="A10804" t="str">
        <f>"NPR1"</f>
        <v>NPR1</v>
      </c>
      <c r="B10804" t="s">
        <v>7</v>
      </c>
    </row>
    <row r="10805" spans="1:2" x14ac:dyDescent="0.2">
      <c r="A10805" t="str">
        <f>"NPR2"</f>
        <v>NPR2</v>
      </c>
      <c r="B10805" t="s">
        <v>7</v>
      </c>
    </row>
    <row r="10806" spans="1:2" x14ac:dyDescent="0.2">
      <c r="A10806" t="str">
        <f>"NPR3"</f>
        <v>NPR3</v>
      </c>
      <c r="B10806" t="s">
        <v>7</v>
      </c>
    </row>
    <row r="10807" spans="1:2" x14ac:dyDescent="0.2">
      <c r="A10807" t="str">
        <f>"NPRL2"</f>
        <v>NPRL2</v>
      </c>
      <c r="B10807" t="s">
        <v>3</v>
      </c>
    </row>
    <row r="10808" spans="1:2" x14ac:dyDescent="0.2">
      <c r="A10808" t="str">
        <f>"NPRL3"</f>
        <v>NPRL3</v>
      </c>
      <c r="B10808" t="s">
        <v>4</v>
      </c>
    </row>
    <row r="10809" spans="1:2" x14ac:dyDescent="0.2">
      <c r="A10809" t="str">
        <f>"NPS"</f>
        <v>NPS</v>
      </c>
      <c r="B10809" t="s">
        <v>4</v>
      </c>
    </row>
    <row r="10810" spans="1:2" x14ac:dyDescent="0.2">
      <c r="A10810" t="str">
        <f>"NPSR1"</f>
        <v>NPSR1</v>
      </c>
      <c r="B10810" t="s">
        <v>7</v>
      </c>
    </row>
    <row r="10811" spans="1:2" x14ac:dyDescent="0.2">
      <c r="A10811" t="str">
        <f>"NPTN"</f>
        <v>NPTN</v>
      </c>
      <c r="B10811" t="s">
        <v>5</v>
      </c>
    </row>
    <row r="10812" spans="1:2" x14ac:dyDescent="0.2">
      <c r="A10812" t="str">
        <f>"NPTX1"</f>
        <v>NPTX1</v>
      </c>
      <c r="B10812" t="s">
        <v>2</v>
      </c>
    </row>
    <row r="10813" spans="1:2" x14ac:dyDescent="0.2">
      <c r="A10813" t="str">
        <f>"NPTX2"</f>
        <v>NPTX2</v>
      </c>
      <c r="B10813" t="s">
        <v>3</v>
      </c>
    </row>
    <row r="10814" spans="1:2" x14ac:dyDescent="0.2">
      <c r="A10814" t="str">
        <f>"NPTXR"</f>
        <v>NPTXR</v>
      </c>
      <c r="B10814" t="s">
        <v>4</v>
      </c>
    </row>
    <row r="10815" spans="1:2" x14ac:dyDescent="0.2">
      <c r="A10815" t="str">
        <f>"NPVF"</f>
        <v>NPVF</v>
      </c>
      <c r="B10815" t="s">
        <v>5</v>
      </c>
    </row>
    <row r="10816" spans="1:2" x14ac:dyDescent="0.2">
      <c r="A10816" t="str">
        <f>"NPW"</f>
        <v>NPW</v>
      </c>
      <c r="B10816" t="s">
        <v>4</v>
      </c>
    </row>
    <row r="10817" spans="1:2" x14ac:dyDescent="0.2">
      <c r="A10817" t="str">
        <f>"NPY"</f>
        <v>NPY</v>
      </c>
      <c r="B10817" t="s">
        <v>3</v>
      </c>
    </row>
    <row r="10818" spans="1:2" x14ac:dyDescent="0.2">
      <c r="A10818" t="str">
        <f>"NPY1R"</f>
        <v>NPY1R</v>
      </c>
      <c r="B10818" t="s">
        <v>5</v>
      </c>
    </row>
    <row r="10819" spans="1:2" x14ac:dyDescent="0.2">
      <c r="A10819" t="str">
        <f>"NPY2R"</f>
        <v>NPY2R</v>
      </c>
      <c r="B10819" t="s">
        <v>7</v>
      </c>
    </row>
    <row r="10820" spans="1:2" x14ac:dyDescent="0.2">
      <c r="A10820" t="str">
        <f>"NPY4R"</f>
        <v>NPY4R</v>
      </c>
      <c r="B10820" t="s">
        <v>5</v>
      </c>
    </row>
    <row r="10821" spans="1:2" x14ac:dyDescent="0.2">
      <c r="A10821" t="str">
        <f>"NPY5R"</f>
        <v>NPY5R</v>
      </c>
      <c r="B10821" t="s">
        <v>5</v>
      </c>
    </row>
    <row r="10822" spans="1:2" x14ac:dyDescent="0.2">
      <c r="A10822" t="str">
        <f>"NQO1"</f>
        <v>NQO1</v>
      </c>
      <c r="B10822" t="s">
        <v>7</v>
      </c>
    </row>
    <row r="10823" spans="1:2" x14ac:dyDescent="0.2">
      <c r="A10823" t="str">
        <f>"NQO2"</f>
        <v>NQO2</v>
      </c>
      <c r="B10823" t="s">
        <v>7</v>
      </c>
    </row>
    <row r="10824" spans="1:2" x14ac:dyDescent="0.2">
      <c r="A10824" t="str">
        <f>"NR0B1"</f>
        <v>NR0B1</v>
      </c>
      <c r="B10824" t="s">
        <v>3</v>
      </c>
    </row>
    <row r="10825" spans="1:2" x14ac:dyDescent="0.2">
      <c r="A10825" t="str">
        <f>"NR0B2"</f>
        <v>NR0B2</v>
      </c>
      <c r="B10825" t="s">
        <v>3</v>
      </c>
    </row>
    <row r="10826" spans="1:2" x14ac:dyDescent="0.2">
      <c r="A10826" t="str">
        <f>"NR1D1"</f>
        <v>NR1D1</v>
      </c>
      <c r="B10826" t="s">
        <v>2</v>
      </c>
    </row>
    <row r="10827" spans="1:2" x14ac:dyDescent="0.2">
      <c r="A10827" t="str">
        <f>"NR1D2"</f>
        <v>NR1D2</v>
      </c>
      <c r="B10827" t="s">
        <v>8</v>
      </c>
    </row>
    <row r="10828" spans="1:2" x14ac:dyDescent="0.2">
      <c r="A10828" t="str">
        <f>"NR1H2"</f>
        <v>NR1H2</v>
      </c>
      <c r="B10828" t="s">
        <v>7</v>
      </c>
    </row>
    <row r="10829" spans="1:2" x14ac:dyDescent="0.2">
      <c r="A10829" t="str">
        <f>"NR1H3"</f>
        <v>NR1H3</v>
      </c>
      <c r="B10829" t="s">
        <v>7</v>
      </c>
    </row>
    <row r="10830" spans="1:2" x14ac:dyDescent="0.2">
      <c r="A10830" t="str">
        <f>"NR1H4"</f>
        <v>NR1H4</v>
      </c>
      <c r="B10830" t="s">
        <v>7</v>
      </c>
    </row>
    <row r="10831" spans="1:2" x14ac:dyDescent="0.2">
      <c r="A10831" t="str">
        <f>"NR1I2"</f>
        <v>NR1I2</v>
      </c>
      <c r="B10831" t="s">
        <v>7</v>
      </c>
    </row>
    <row r="10832" spans="1:2" x14ac:dyDescent="0.2">
      <c r="A10832" t="str">
        <f>"NR1I3"</f>
        <v>NR1I3</v>
      </c>
      <c r="B10832" t="s">
        <v>7</v>
      </c>
    </row>
    <row r="10833" spans="1:2" x14ac:dyDescent="0.2">
      <c r="A10833" t="str">
        <f>"NR2C1"</f>
        <v>NR2C1</v>
      </c>
      <c r="B10833" t="s">
        <v>2</v>
      </c>
    </row>
    <row r="10834" spans="1:2" x14ac:dyDescent="0.2">
      <c r="A10834" t="str">
        <f>"NR2C2"</f>
        <v>NR2C2</v>
      </c>
      <c r="B10834" t="s">
        <v>8</v>
      </c>
    </row>
    <row r="10835" spans="1:2" x14ac:dyDescent="0.2">
      <c r="A10835" t="str">
        <f>"NR2C2AP"</f>
        <v>NR2C2AP</v>
      </c>
      <c r="B10835" t="s">
        <v>3</v>
      </c>
    </row>
    <row r="10836" spans="1:2" x14ac:dyDescent="0.2">
      <c r="A10836" t="str">
        <f>"NR2E1"</f>
        <v>NR2E1</v>
      </c>
      <c r="B10836" t="s">
        <v>3</v>
      </c>
    </row>
    <row r="10837" spans="1:2" x14ac:dyDescent="0.2">
      <c r="A10837" t="str">
        <f>"NR2E3"</f>
        <v>NR2E3</v>
      </c>
      <c r="B10837" t="s">
        <v>8</v>
      </c>
    </row>
    <row r="10838" spans="1:2" x14ac:dyDescent="0.2">
      <c r="A10838" t="str">
        <f>"NR2F1"</f>
        <v>NR2F1</v>
      </c>
      <c r="B10838" t="s">
        <v>3</v>
      </c>
    </row>
    <row r="10839" spans="1:2" x14ac:dyDescent="0.2">
      <c r="A10839" t="str">
        <f>"NR2F2"</f>
        <v>NR2F2</v>
      </c>
      <c r="B10839" t="s">
        <v>3</v>
      </c>
    </row>
    <row r="10840" spans="1:2" x14ac:dyDescent="0.2">
      <c r="A10840" t="str">
        <f>"NR2F6"</f>
        <v>NR2F6</v>
      </c>
      <c r="B10840" t="s">
        <v>3</v>
      </c>
    </row>
    <row r="10841" spans="1:2" x14ac:dyDescent="0.2">
      <c r="A10841" t="str">
        <f>"NR3C1"</f>
        <v>NR3C1</v>
      </c>
      <c r="B10841" t="s">
        <v>3</v>
      </c>
    </row>
    <row r="10842" spans="1:2" x14ac:dyDescent="0.2">
      <c r="A10842" t="str">
        <f>"NR3C2"</f>
        <v>NR3C2</v>
      </c>
      <c r="B10842" t="s">
        <v>7</v>
      </c>
    </row>
    <row r="10843" spans="1:2" x14ac:dyDescent="0.2">
      <c r="A10843" t="str">
        <f>"NR4A1"</f>
        <v>NR4A1</v>
      </c>
      <c r="B10843" t="s">
        <v>8</v>
      </c>
    </row>
    <row r="10844" spans="1:2" x14ac:dyDescent="0.2">
      <c r="A10844" t="str">
        <f>"NR4A2"</f>
        <v>NR4A2</v>
      </c>
      <c r="B10844" t="s">
        <v>3</v>
      </c>
    </row>
    <row r="10845" spans="1:2" x14ac:dyDescent="0.2">
      <c r="A10845" t="str">
        <f>"NR4A3"</f>
        <v>NR4A3</v>
      </c>
      <c r="B10845" t="s">
        <v>3</v>
      </c>
    </row>
    <row r="10846" spans="1:2" x14ac:dyDescent="0.2">
      <c r="A10846" t="str">
        <f>"NR5A1"</f>
        <v>NR5A1</v>
      </c>
      <c r="B10846" t="s">
        <v>3</v>
      </c>
    </row>
    <row r="10847" spans="1:2" x14ac:dyDescent="0.2">
      <c r="A10847" t="str">
        <f>"NR5A2"</f>
        <v>NR5A2</v>
      </c>
      <c r="B10847" t="s">
        <v>2</v>
      </c>
    </row>
    <row r="10848" spans="1:2" x14ac:dyDescent="0.2">
      <c r="A10848" t="str">
        <f>"NR6A1"</f>
        <v>NR6A1</v>
      </c>
      <c r="B10848" t="s">
        <v>8</v>
      </c>
    </row>
    <row r="10849" spans="1:2" x14ac:dyDescent="0.2">
      <c r="A10849" t="str">
        <f>"NRAP"</f>
        <v>NRAP</v>
      </c>
      <c r="B10849" t="s">
        <v>6</v>
      </c>
    </row>
    <row r="10850" spans="1:2" x14ac:dyDescent="0.2">
      <c r="A10850" t="str">
        <f>"NRARP"</f>
        <v>NRARP</v>
      </c>
      <c r="B10850" t="s">
        <v>8</v>
      </c>
    </row>
    <row r="10851" spans="1:2" x14ac:dyDescent="0.2">
      <c r="A10851" t="str">
        <f>"NRAS"</f>
        <v>NRAS</v>
      </c>
      <c r="B10851" t="s">
        <v>3</v>
      </c>
    </row>
    <row r="10852" spans="1:2" x14ac:dyDescent="0.2">
      <c r="A10852" t="str">
        <f>"NRBF2"</f>
        <v>NRBF2</v>
      </c>
      <c r="B10852" t="s">
        <v>8</v>
      </c>
    </row>
    <row r="10853" spans="1:2" x14ac:dyDescent="0.2">
      <c r="A10853" t="str">
        <f>"NRBP1"</f>
        <v>NRBP1</v>
      </c>
      <c r="B10853" t="s">
        <v>7</v>
      </c>
    </row>
    <row r="10854" spans="1:2" x14ac:dyDescent="0.2">
      <c r="A10854" t="str">
        <f>"NRBP2"</f>
        <v>NRBP2</v>
      </c>
      <c r="B10854" t="s">
        <v>7</v>
      </c>
    </row>
    <row r="10855" spans="1:2" x14ac:dyDescent="0.2">
      <c r="A10855" t="str">
        <f>"NRCAM"</f>
        <v>NRCAM</v>
      </c>
      <c r="B10855" t="s">
        <v>6</v>
      </c>
    </row>
    <row r="10856" spans="1:2" x14ac:dyDescent="0.2">
      <c r="A10856" t="str">
        <f>"NRD1"</f>
        <v>NRD1</v>
      </c>
      <c r="B10856" t="s">
        <v>2</v>
      </c>
    </row>
    <row r="10857" spans="1:2" x14ac:dyDescent="0.2">
      <c r="A10857" t="str">
        <f>"NRDE2"</f>
        <v>NRDE2</v>
      </c>
      <c r="B10857" t="s">
        <v>4</v>
      </c>
    </row>
    <row r="10858" spans="1:2" x14ac:dyDescent="0.2">
      <c r="A10858" t="str">
        <f>"NREP"</f>
        <v>NREP</v>
      </c>
      <c r="B10858" t="s">
        <v>4</v>
      </c>
    </row>
    <row r="10859" spans="1:2" x14ac:dyDescent="0.2">
      <c r="A10859" t="str">
        <f>"NRF1"</f>
        <v>NRF1</v>
      </c>
      <c r="B10859" t="s">
        <v>2</v>
      </c>
    </row>
    <row r="10860" spans="1:2" x14ac:dyDescent="0.2">
      <c r="A10860" t="str">
        <f>"NRG1"</f>
        <v>NRG1</v>
      </c>
      <c r="B10860" t="s">
        <v>8</v>
      </c>
    </row>
    <row r="10861" spans="1:2" x14ac:dyDescent="0.2">
      <c r="A10861" t="str">
        <f>"NRG2"</f>
        <v>NRG2</v>
      </c>
      <c r="B10861" t="s">
        <v>3</v>
      </c>
    </row>
    <row r="10862" spans="1:2" x14ac:dyDescent="0.2">
      <c r="A10862" t="str">
        <f>"NRG3"</f>
        <v>NRG3</v>
      </c>
      <c r="B10862" t="s">
        <v>5</v>
      </c>
    </row>
    <row r="10863" spans="1:2" x14ac:dyDescent="0.2">
      <c r="A10863" t="str">
        <f>"NRG4"</f>
        <v>NRG4</v>
      </c>
      <c r="B10863" t="s">
        <v>5</v>
      </c>
    </row>
    <row r="10864" spans="1:2" x14ac:dyDescent="0.2">
      <c r="A10864" t="str">
        <f>"NRGN"</f>
        <v>NRGN</v>
      </c>
      <c r="B10864" t="s">
        <v>7</v>
      </c>
    </row>
    <row r="10865" spans="1:2" x14ac:dyDescent="0.2">
      <c r="A10865" t="str">
        <f>"NRIP1"</f>
        <v>NRIP1</v>
      </c>
      <c r="B10865" t="s">
        <v>7</v>
      </c>
    </row>
    <row r="10866" spans="1:2" x14ac:dyDescent="0.2">
      <c r="A10866" t="str">
        <f>"NRIP2"</f>
        <v>NRIP2</v>
      </c>
      <c r="B10866" t="s">
        <v>2</v>
      </c>
    </row>
    <row r="10867" spans="1:2" x14ac:dyDescent="0.2">
      <c r="A10867" t="str">
        <f>"NRIP3"</f>
        <v>NRIP3</v>
      </c>
      <c r="B10867" t="s">
        <v>2</v>
      </c>
    </row>
    <row r="10868" spans="1:2" x14ac:dyDescent="0.2">
      <c r="A10868" t="str">
        <f>"NRK"</f>
        <v>NRK</v>
      </c>
      <c r="B10868" t="s">
        <v>7</v>
      </c>
    </row>
    <row r="10869" spans="1:2" x14ac:dyDescent="0.2">
      <c r="A10869" t="str">
        <f>"NRL"</f>
        <v>NRL</v>
      </c>
      <c r="B10869" t="s">
        <v>8</v>
      </c>
    </row>
    <row r="10870" spans="1:2" x14ac:dyDescent="0.2">
      <c r="A10870" t="str">
        <f>"NRM"</f>
        <v>NRM</v>
      </c>
      <c r="B10870" t="s">
        <v>5</v>
      </c>
    </row>
    <row r="10871" spans="1:2" x14ac:dyDescent="0.2">
      <c r="A10871" t="str">
        <f>"NRN1"</f>
        <v>NRN1</v>
      </c>
      <c r="B10871" t="s">
        <v>6</v>
      </c>
    </row>
    <row r="10872" spans="1:2" x14ac:dyDescent="0.2">
      <c r="A10872" t="str">
        <f>"NRN1L"</f>
        <v>NRN1L</v>
      </c>
      <c r="B10872" t="s">
        <v>4</v>
      </c>
    </row>
    <row r="10873" spans="1:2" x14ac:dyDescent="0.2">
      <c r="A10873" t="str">
        <f>"NRP1"</f>
        <v>NRP1</v>
      </c>
      <c r="B10873" t="s">
        <v>3</v>
      </c>
    </row>
    <row r="10874" spans="1:2" x14ac:dyDescent="0.2">
      <c r="A10874" t="str">
        <f>"NRP2"</f>
        <v>NRP2</v>
      </c>
      <c r="B10874" t="s">
        <v>3</v>
      </c>
    </row>
    <row r="10875" spans="1:2" x14ac:dyDescent="0.2">
      <c r="A10875" t="str">
        <f>"NRROS"</f>
        <v>NRROS</v>
      </c>
      <c r="B10875" t="s">
        <v>2</v>
      </c>
    </row>
    <row r="10876" spans="1:2" x14ac:dyDescent="0.2">
      <c r="A10876" t="str">
        <f>"NRSN1"</f>
        <v>NRSN1</v>
      </c>
      <c r="B10876" t="s">
        <v>2</v>
      </c>
    </row>
    <row r="10877" spans="1:2" x14ac:dyDescent="0.2">
      <c r="A10877" t="str">
        <f>"NRSN2"</f>
        <v>NRSN2</v>
      </c>
      <c r="B10877" t="s">
        <v>2</v>
      </c>
    </row>
    <row r="10878" spans="1:2" x14ac:dyDescent="0.2">
      <c r="A10878" t="str">
        <f>"NRTN"</f>
        <v>NRTN</v>
      </c>
      <c r="B10878" t="s">
        <v>4</v>
      </c>
    </row>
    <row r="10879" spans="1:2" x14ac:dyDescent="0.2">
      <c r="A10879" t="str">
        <f>"NRXN1"</f>
        <v>NRXN1</v>
      </c>
      <c r="B10879" t="s">
        <v>5</v>
      </c>
    </row>
    <row r="10880" spans="1:2" x14ac:dyDescent="0.2">
      <c r="A10880" t="str">
        <f>"NRXN2"</f>
        <v>NRXN2</v>
      </c>
      <c r="B10880" t="s">
        <v>5</v>
      </c>
    </row>
    <row r="10881" spans="1:2" x14ac:dyDescent="0.2">
      <c r="A10881" t="str">
        <f>"NRXN3"</f>
        <v>NRXN3</v>
      </c>
      <c r="B10881" t="s">
        <v>5</v>
      </c>
    </row>
    <row r="10882" spans="1:2" x14ac:dyDescent="0.2">
      <c r="A10882" t="str">
        <f>"NSA2"</f>
        <v>NSA2</v>
      </c>
      <c r="B10882" t="s">
        <v>8</v>
      </c>
    </row>
    <row r="10883" spans="1:2" x14ac:dyDescent="0.2">
      <c r="A10883" t="str">
        <f>"NSD1"</f>
        <v>NSD1</v>
      </c>
      <c r="B10883" t="s">
        <v>3</v>
      </c>
    </row>
    <row r="10884" spans="1:2" x14ac:dyDescent="0.2">
      <c r="A10884" t="str">
        <f>"NSDHL"</f>
        <v>NSDHL</v>
      </c>
      <c r="B10884" t="s">
        <v>7</v>
      </c>
    </row>
    <row r="10885" spans="1:2" x14ac:dyDescent="0.2">
      <c r="A10885" t="str">
        <f>"NSF"</f>
        <v>NSF</v>
      </c>
      <c r="B10885" t="s">
        <v>7</v>
      </c>
    </row>
    <row r="10886" spans="1:2" x14ac:dyDescent="0.2">
      <c r="A10886" t="str">
        <f>"NSFL1C"</f>
        <v>NSFL1C</v>
      </c>
      <c r="B10886" t="s">
        <v>2</v>
      </c>
    </row>
    <row r="10887" spans="1:2" x14ac:dyDescent="0.2">
      <c r="A10887" t="str">
        <f>"NSG1"</f>
        <v>NSG1</v>
      </c>
      <c r="B10887" t="s">
        <v>5</v>
      </c>
    </row>
    <row r="10888" spans="1:2" x14ac:dyDescent="0.2">
      <c r="A10888" t="str">
        <f>"NSL1"</f>
        <v>NSL1</v>
      </c>
      <c r="B10888" t="s">
        <v>3</v>
      </c>
    </row>
    <row r="10889" spans="1:2" x14ac:dyDescent="0.2">
      <c r="A10889" t="str">
        <f>"NSMAF"</f>
        <v>NSMAF</v>
      </c>
      <c r="B10889" t="s">
        <v>4</v>
      </c>
    </row>
    <row r="10890" spans="1:2" x14ac:dyDescent="0.2">
      <c r="A10890" t="str">
        <f>"NSMCE1"</f>
        <v>NSMCE1</v>
      </c>
      <c r="B10890" t="s">
        <v>3</v>
      </c>
    </row>
    <row r="10891" spans="1:2" x14ac:dyDescent="0.2">
      <c r="A10891" t="str">
        <f>"NSMCE2"</f>
        <v>NSMCE2</v>
      </c>
      <c r="B10891" t="s">
        <v>3</v>
      </c>
    </row>
    <row r="10892" spans="1:2" x14ac:dyDescent="0.2">
      <c r="A10892" t="str">
        <f>"NSMCE4A"</f>
        <v>NSMCE4A</v>
      </c>
      <c r="B10892" t="s">
        <v>8</v>
      </c>
    </row>
    <row r="10893" spans="1:2" x14ac:dyDescent="0.2">
      <c r="A10893" t="str">
        <f>"NSMF"</f>
        <v>NSMF</v>
      </c>
      <c r="B10893" t="s">
        <v>4</v>
      </c>
    </row>
    <row r="10894" spans="1:2" x14ac:dyDescent="0.2">
      <c r="A10894" t="str">
        <f>"NSRP1"</f>
        <v>NSRP1</v>
      </c>
      <c r="B10894" t="s">
        <v>5</v>
      </c>
    </row>
    <row r="10895" spans="1:2" x14ac:dyDescent="0.2">
      <c r="A10895" t="str">
        <f>"NSUN2"</f>
        <v>NSUN2</v>
      </c>
      <c r="B10895" t="s">
        <v>3</v>
      </c>
    </row>
    <row r="10896" spans="1:2" x14ac:dyDescent="0.2">
      <c r="A10896" t="str">
        <f>"NSUN3"</f>
        <v>NSUN3</v>
      </c>
      <c r="B10896" t="s">
        <v>5</v>
      </c>
    </row>
    <row r="10897" spans="1:2" x14ac:dyDescent="0.2">
      <c r="A10897" t="str">
        <f>"NSUN4"</f>
        <v>NSUN4</v>
      </c>
      <c r="B10897" t="s">
        <v>4</v>
      </c>
    </row>
    <row r="10898" spans="1:2" x14ac:dyDescent="0.2">
      <c r="A10898" t="str">
        <f>"NSUN5"</f>
        <v>NSUN5</v>
      </c>
      <c r="B10898" t="s">
        <v>8</v>
      </c>
    </row>
    <row r="10899" spans="1:2" x14ac:dyDescent="0.2">
      <c r="A10899" t="str">
        <f>"NSUN6"</f>
        <v>NSUN6</v>
      </c>
      <c r="B10899" t="s">
        <v>8</v>
      </c>
    </row>
    <row r="10900" spans="1:2" x14ac:dyDescent="0.2">
      <c r="A10900" t="str">
        <f>"NSUN7"</f>
        <v>NSUN7</v>
      </c>
      <c r="B10900" t="s">
        <v>4</v>
      </c>
    </row>
    <row r="10901" spans="1:2" x14ac:dyDescent="0.2">
      <c r="A10901" t="str">
        <f>"NT5C"</f>
        <v>NT5C</v>
      </c>
      <c r="B10901" t="s">
        <v>7</v>
      </c>
    </row>
    <row r="10902" spans="1:2" x14ac:dyDescent="0.2">
      <c r="A10902" t="str">
        <f>"NT5C1A"</f>
        <v>NT5C1A</v>
      </c>
      <c r="B10902" t="s">
        <v>3</v>
      </c>
    </row>
    <row r="10903" spans="1:2" x14ac:dyDescent="0.2">
      <c r="A10903" t="str">
        <f>"NT5C1B"</f>
        <v>NT5C1B</v>
      </c>
      <c r="B10903" t="s">
        <v>3</v>
      </c>
    </row>
    <row r="10904" spans="1:2" x14ac:dyDescent="0.2">
      <c r="A10904" t="str">
        <f>"NT5C1B-RDH14"</f>
        <v>NT5C1B-RDH14</v>
      </c>
      <c r="B10904" t="s">
        <v>4</v>
      </c>
    </row>
    <row r="10905" spans="1:2" x14ac:dyDescent="0.2">
      <c r="A10905" t="str">
        <f>"NT5C2"</f>
        <v>NT5C2</v>
      </c>
      <c r="B10905" t="s">
        <v>7</v>
      </c>
    </row>
    <row r="10906" spans="1:2" x14ac:dyDescent="0.2">
      <c r="A10906" t="str">
        <f>"NT5C3A"</f>
        <v>NT5C3A</v>
      </c>
      <c r="B10906" t="s">
        <v>6</v>
      </c>
    </row>
    <row r="10907" spans="1:2" x14ac:dyDescent="0.2">
      <c r="A10907" t="str">
        <f>"NT5C3B"</f>
        <v>NT5C3B</v>
      </c>
      <c r="B10907" t="s">
        <v>4</v>
      </c>
    </row>
    <row r="10908" spans="1:2" x14ac:dyDescent="0.2">
      <c r="A10908" t="str">
        <f>"NT5DC1"</f>
        <v>NT5DC1</v>
      </c>
      <c r="B10908" t="s">
        <v>5</v>
      </c>
    </row>
    <row r="10909" spans="1:2" x14ac:dyDescent="0.2">
      <c r="A10909" t="str">
        <f>"NT5DC2"</f>
        <v>NT5DC2</v>
      </c>
      <c r="B10909" t="s">
        <v>4</v>
      </c>
    </row>
    <row r="10910" spans="1:2" x14ac:dyDescent="0.2">
      <c r="A10910" t="str">
        <f>"NT5DC3"</f>
        <v>NT5DC3</v>
      </c>
      <c r="B10910" t="s">
        <v>6</v>
      </c>
    </row>
    <row r="10911" spans="1:2" x14ac:dyDescent="0.2">
      <c r="A10911" t="str">
        <f>"NT5DC4"</f>
        <v>NT5DC4</v>
      </c>
      <c r="B10911" t="s">
        <v>4</v>
      </c>
    </row>
    <row r="10912" spans="1:2" x14ac:dyDescent="0.2">
      <c r="A10912" t="str">
        <f>"NT5E"</f>
        <v>NT5E</v>
      </c>
      <c r="B10912" t="s">
        <v>3</v>
      </c>
    </row>
    <row r="10913" spans="1:2" x14ac:dyDescent="0.2">
      <c r="A10913" t="str">
        <f>"NT5M"</f>
        <v>NT5M</v>
      </c>
      <c r="B10913" t="s">
        <v>7</v>
      </c>
    </row>
    <row r="10914" spans="1:2" x14ac:dyDescent="0.2">
      <c r="A10914" t="str">
        <f>"NTAN1"</f>
        <v>NTAN1</v>
      </c>
      <c r="B10914" t="s">
        <v>3</v>
      </c>
    </row>
    <row r="10915" spans="1:2" x14ac:dyDescent="0.2">
      <c r="A10915" t="str">
        <f>"NTF3"</f>
        <v>NTF3</v>
      </c>
      <c r="B10915" t="s">
        <v>2</v>
      </c>
    </row>
    <row r="10916" spans="1:2" x14ac:dyDescent="0.2">
      <c r="A10916" t="str">
        <f>"NTF4"</f>
        <v>NTF4</v>
      </c>
      <c r="B10916" t="s">
        <v>4</v>
      </c>
    </row>
    <row r="10917" spans="1:2" x14ac:dyDescent="0.2">
      <c r="A10917" t="str">
        <f>"NTHL1"</f>
        <v>NTHL1</v>
      </c>
      <c r="B10917" t="s">
        <v>3</v>
      </c>
    </row>
    <row r="10918" spans="1:2" x14ac:dyDescent="0.2">
      <c r="A10918" t="str">
        <f>"NTM"</f>
        <v>NTM</v>
      </c>
      <c r="B10918" t="s">
        <v>4</v>
      </c>
    </row>
    <row r="10919" spans="1:2" x14ac:dyDescent="0.2">
      <c r="A10919" t="str">
        <f>"NTMT1"</f>
        <v>NTMT1</v>
      </c>
      <c r="B10919" t="s">
        <v>4</v>
      </c>
    </row>
    <row r="10920" spans="1:2" x14ac:dyDescent="0.2">
      <c r="A10920" t="str">
        <f>"NTN1"</f>
        <v>NTN1</v>
      </c>
      <c r="B10920" t="s">
        <v>8</v>
      </c>
    </row>
    <row r="10921" spans="1:2" x14ac:dyDescent="0.2">
      <c r="A10921" t="str">
        <f>"NTN3"</f>
        <v>NTN3</v>
      </c>
      <c r="B10921" t="s">
        <v>8</v>
      </c>
    </row>
    <row r="10922" spans="1:2" x14ac:dyDescent="0.2">
      <c r="A10922" t="str">
        <f>"NTN4"</f>
        <v>NTN4</v>
      </c>
      <c r="B10922" t="s">
        <v>5</v>
      </c>
    </row>
    <row r="10923" spans="1:2" x14ac:dyDescent="0.2">
      <c r="A10923" t="str">
        <f>"NTN5"</f>
        <v>NTN5</v>
      </c>
      <c r="B10923" t="s">
        <v>4</v>
      </c>
    </row>
    <row r="10924" spans="1:2" x14ac:dyDescent="0.2">
      <c r="A10924" t="str">
        <f>"NTNG1"</f>
        <v>NTNG1</v>
      </c>
      <c r="B10924" t="s">
        <v>3</v>
      </c>
    </row>
    <row r="10925" spans="1:2" x14ac:dyDescent="0.2">
      <c r="A10925" t="str">
        <f>"NTNG2"</f>
        <v>NTNG2</v>
      </c>
      <c r="B10925" t="s">
        <v>4</v>
      </c>
    </row>
    <row r="10926" spans="1:2" x14ac:dyDescent="0.2">
      <c r="A10926" t="str">
        <f>"NTPCR"</f>
        <v>NTPCR</v>
      </c>
      <c r="B10926" t="s">
        <v>2</v>
      </c>
    </row>
    <row r="10927" spans="1:2" x14ac:dyDescent="0.2">
      <c r="A10927" t="str">
        <f>"NTRK1"</f>
        <v>NTRK1</v>
      </c>
      <c r="B10927" t="s">
        <v>7</v>
      </c>
    </row>
    <row r="10928" spans="1:2" x14ac:dyDescent="0.2">
      <c r="A10928" t="str">
        <f>"NTRK2"</f>
        <v>NTRK2</v>
      </c>
      <c r="B10928" t="s">
        <v>7</v>
      </c>
    </row>
    <row r="10929" spans="1:2" x14ac:dyDescent="0.2">
      <c r="A10929" t="str">
        <f>"NTRK3"</f>
        <v>NTRK3</v>
      </c>
      <c r="B10929" t="s">
        <v>7</v>
      </c>
    </row>
    <row r="10930" spans="1:2" x14ac:dyDescent="0.2">
      <c r="A10930" t="str">
        <f>"NTS"</f>
        <v>NTS</v>
      </c>
      <c r="B10930" t="s">
        <v>6</v>
      </c>
    </row>
    <row r="10931" spans="1:2" x14ac:dyDescent="0.2">
      <c r="A10931" t="str">
        <f>"NTSR1"</f>
        <v>NTSR1</v>
      </c>
      <c r="B10931" t="s">
        <v>3</v>
      </c>
    </row>
    <row r="10932" spans="1:2" x14ac:dyDescent="0.2">
      <c r="A10932" t="str">
        <f>"NTSR2"</f>
        <v>NTSR2</v>
      </c>
      <c r="B10932" t="s">
        <v>7</v>
      </c>
    </row>
    <row r="10933" spans="1:2" x14ac:dyDescent="0.2">
      <c r="A10933" t="str">
        <f>"NUAK1"</f>
        <v>NUAK1</v>
      </c>
      <c r="B10933" t="s">
        <v>7</v>
      </c>
    </row>
    <row r="10934" spans="1:2" x14ac:dyDescent="0.2">
      <c r="A10934" t="str">
        <f>"NUAK2"</f>
        <v>NUAK2</v>
      </c>
      <c r="B10934" t="s">
        <v>7</v>
      </c>
    </row>
    <row r="10935" spans="1:2" x14ac:dyDescent="0.2">
      <c r="A10935" t="str">
        <f>"NUB1"</f>
        <v>NUB1</v>
      </c>
      <c r="B10935" t="s">
        <v>2</v>
      </c>
    </row>
    <row r="10936" spans="1:2" x14ac:dyDescent="0.2">
      <c r="A10936" t="str">
        <f>"NUBP1"</f>
        <v>NUBP1</v>
      </c>
      <c r="B10936" t="s">
        <v>6</v>
      </c>
    </row>
    <row r="10937" spans="1:2" x14ac:dyDescent="0.2">
      <c r="A10937" t="str">
        <f>"NUBP2"</f>
        <v>NUBP2</v>
      </c>
      <c r="B10937" t="s">
        <v>6</v>
      </c>
    </row>
    <row r="10938" spans="1:2" x14ac:dyDescent="0.2">
      <c r="A10938" t="str">
        <f>"NUBPL"</f>
        <v>NUBPL</v>
      </c>
      <c r="B10938" t="s">
        <v>6</v>
      </c>
    </row>
    <row r="10939" spans="1:2" x14ac:dyDescent="0.2">
      <c r="A10939" t="str">
        <f>"NUCB1"</f>
        <v>NUCB1</v>
      </c>
      <c r="B10939" t="s">
        <v>6</v>
      </c>
    </row>
    <row r="10940" spans="1:2" x14ac:dyDescent="0.2">
      <c r="A10940" t="str">
        <f>"NUCB2"</f>
        <v>NUCB2</v>
      </c>
      <c r="B10940" t="s">
        <v>2</v>
      </c>
    </row>
    <row r="10941" spans="1:2" x14ac:dyDescent="0.2">
      <c r="A10941" t="str">
        <f>"NUCKS1"</f>
        <v>NUCKS1</v>
      </c>
      <c r="B10941" t="s">
        <v>7</v>
      </c>
    </row>
    <row r="10942" spans="1:2" x14ac:dyDescent="0.2">
      <c r="A10942" t="str">
        <f>"NUDC"</f>
        <v>NUDC</v>
      </c>
      <c r="B10942" t="s">
        <v>3</v>
      </c>
    </row>
    <row r="10943" spans="1:2" x14ac:dyDescent="0.2">
      <c r="A10943" t="str">
        <f>"NUDCD1"</f>
        <v>NUDCD1</v>
      </c>
      <c r="B10943" t="s">
        <v>2</v>
      </c>
    </row>
    <row r="10944" spans="1:2" x14ac:dyDescent="0.2">
      <c r="A10944" t="str">
        <f>"NUDCD2"</f>
        <v>NUDCD2</v>
      </c>
      <c r="B10944" t="s">
        <v>4</v>
      </c>
    </row>
    <row r="10945" spans="1:2" x14ac:dyDescent="0.2">
      <c r="A10945" t="str">
        <f>"NUDCD3"</f>
        <v>NUDCD3</v>
      </c>
      <c r="B10945" t="s">
        <v>3</v>
      </c>
    </row>
    <row r="10946" spans="1:2" x14ac:dyDescent="0.2">
      <c r="A10946" t="str">
        <f>"NUDT1"</f>
        <v>NUDT1</v>
      </c>
      <c r="B10946" t="s">
        <v>3</v>
      </c>
    </row>
    <row r="10947" spans="1:2" x14ac:dyDescent="0.2">
      <c r="A10947" t="str">
        <f>"NUDT10"</f>
        <v>NUDT10</v>
      </c>
      <c r="B10947" t="s">
        <v>4</v>
      </c>
    </row>
    <row r="10948" spans="1:2" x14ac:dyDescent="0.2">
      <c r="A10948" t="str">
        <f>"NUDT11"</f>
        <v>NUDT11</v>
      </c>
      <c r="B10948" t="s">
        <v>4</v>
      </c>
    </row>
    <row r="10949" spans="1:2" x14ac:dyDescent="0.2">
      <c r="A10949" t="str">
        <f>"NUDT12"</f>
        <v>NUDT12</v>
      </c>
      <c r="B10949" t="s">
        <v>6</v>
      </c>
    </row>
    <row r="10950" spans="1:2" x14ac:dyDescent="0.2">
      <c r="A10950" t="str">
        <f>"NUDT13"</f>
        <v>NUDT13</v>
      </c>
      <c r="B10950" t="s">
        <v>6</v>
      </c>
    </row>
    <row r="10951" spans="1:2" x14ac:dyDescent="0.2">
      <c r="A10951" t="str">
        <f>"NUDT14"</f>
        <v>NUDT14</v>
      </c>
      <c r="B10951" t="s">
        <v>4</v>
      </c>
    </row>
    <row r="10952" spans="1:2" x14ac:dyDescent="0.2">
      <c r="A10952" t="str">
        <f>"NUDT15"</f>
        <v>NUDT15</v>
      </c>
      <c r="B10952" t="s">
        <v>4</v>
      </c>
    </row>
    <row r="10953" spans="1:2" x14ac:dyDescent="0.2">
      <c r="A10953" t="str">
        <f>"NUDT16"</f>
        <v>NUDT16</v>
      </c>
      <c r="B10953" t="s">
        <v>2</v>
      </c>
    </row>
    <row r="10954" spans="1:2" x14ac:dyDescent="0.2">
      <c r="A10954" t="str">
        <f>"NUDT16L1"</f>
        <v>NUDT16L1</v>
      </c>
      <c r="B10954" t="s">
        <v>6</v>
      </c>
    </row>
    <row r="10955" spans="1:2" x14ac:dyDescent="0.2">
      <c r="A10955" t="str">
        <f>"NUDT17"</f>
        <v>NUDT17</v>
      </c>
      <c r="B10955" t="s">
        <v>4</v>
      </c>
    </row>
    <row r="10956" spans="1:2" x14ac:dyDescent="0.2">
      <c r="A10956" t="str">
        <f>"NUDT18"</f>
        <v>NUDT18</v>
      </c>
      <c r="B10956" t="s">
        <v>4</v>
      </c>
    </row>
    <row r="10957" spans="1:2" x14ac:dyDescent="0.2">
      <c r="A10957" t="str">
        <f>"NUDT19"</f>
        <v>NUDT19</v>
      </c>
      <c r="B10957" t="s">
        <v>6</v>
      </c>
    </row>
    <row r="10958" spans="1:2" x14ac:dyDescent="0.2">
      <c r="A10958" t="str">
        <f>"NUDT2"</f>
        <v>NUDT2</v>
      </c>
      <c r="B10958" t="s">
        <v>3</v>
      </c>
    </row>
    <row r="10959" spans="1:2" x14ac:dyDescent="0.2">
      <c r="A10959" t="str">
        <f>"NUDT21"</f>
        <v>NUDT21</v>
      </c>
      <c r="B10959" t="s">
        <v>3</v>
      </c>
    </row>
    <row r="10960" spans="1:2" x14ac:dyDescent="0.2">
      <c r="A10960" t="str">
        <f>"NUDT22"</f>
        <v>NUDT22</v>
      </c>
      <c r="B10960" t="s">
        <v>4</v>
      </c>
    </row>
    <row r="10961" spans="1:2" x14ac:dyDescent="0.2">
      <c r="A10961" t="str">
        <f>"NUDT3"</f>
        <v>NUDT3</v>
      </c>
      <c r="B10961" t="s">
        <v>4</v>
      </c>
    </row>
    <row r="10962" spans="1:2" x14ac:dyDescent="0.2">
      <c r="A10962" t="str">
        <f>"NUDT4"</f>
        <v>NUDT4</v>
      </c>
      <c r="B10962" t="s">
        <v>6</v>
      </c>
    </row>
    <row r="10963" spans="1:2" x14ac:dyDescent="0.2">
      <c r="A10963" t="str">
        <f>"NUDT5"</f>
        <v>NUDT5</v>
      </c>
      <c r="B10963" t="s">
        <v>6</v>
      </c>
    </row>
    <row r="10964" spans="1:2" x14ac:dyDescent="0.2">
      <c r="A10964" t="str">
        <f>"NUDT6"</f>
        <v>NUDT6</v>
      </c>
      <c r="B10964" t="s">
        <v>6</v>
      </c>
    </row>
    <row r="10965" spans="1:2" x14ac:dyDescent="0.2">
      <c r="A10965" t="str">
        <f>"NUDT7"</f>
        <v>NUDT7</v>
      </c>
      <c r="B10965" t="s">
        <v>2</v>
      </c>
    </row>
    <row r="10966" spans="1:2" x14ac:dyDescent="0.2">
      <c r="A10966" t="str">
        <f>"NUDT8"</f>
        <v>NUDT8</v>
      </c>
      <c r="B10966" t="s">
        <v>6</v>
      </c>
    </row>
    <row r="10967" spans="1:2" x14ac:dyDescent="0.2">
      <c r="A10967" t="str">
        <f>"NUDT9"</f>
        <v>NUDT9</v>
      </c>
      <c r="B10967" t="s">
        <v>7</v>
      </c>
    </row>
    <row r="10968" spans="1:2" x14ac:dyDescent="0.2">
      <c r="A10968" t="str">
        <f>"NUF2"</f>
        <v>NUF2</v>
      </c>
      <c r="B10968" t="s">
        <v>3</v>
      </c>
    </row>
    <row r="10969" spans="1:2" x14ac:dyDescent="0.2">
      <c r="A10969" t="str">
        <f>"NUFIP1"</f>
        <v>NUFIP1</v>
      </c>
      <c r="B10969" t="s">
        <v>8</v>
      </c>
    </row>
    <row r="10970" spans="1:2" x14ac:dyDescent="0.2">
      <c r="A10970" t="str">
        <f>"NUFIP2"</f>
        <v>NUFIP2</v>
      </c>
      <c r="B10970" t="s">
        <v>8</v>
      </c>
    </row>
    <row r="10971" spans="1:2" x14ac:dyDescent="0.2">
      <c r="A10971" t="str">
        <f>"NUGGC"</f>
        <v>NUGGC</v>
      </c>
      <c r="B10971" t="s">
        <v>4</v>
      </c>
    </row>
    <row r="10972" spans="1:2" x14ac:dyDescent="0.2">
      <c r="A10972" t="str">
        <f>"NUMA1"</f>
        <v>NUMA1</v>
      </c>
      <c r="B10972" t="s">
        <v>3</v>
      </c>
    </row>
    <row r="10973" spans="1:2" x14ac:dyDescent="0.2">
      <c r="A10973" t="str">
        <f>"NUMB"</f>
        <v>NUMB</v>
      </c>
      <c r="B10973" t="s">
        <v>3</v>
      </c>
    </row>
    <row r="10974" spans="1:2" x14ac:dyDescent="0.2">
      <c r="A10974" t="str">
        <f>"NUMBL"</f>
        <v>NUMBL</v>
      </c>
      <c r="B10974" t="s">
        <v>4</v>
      </c>
    </row>
    <row r="10975" spans="1:2" x14ac:dyDescent="0.2">
      <c r="A10975" t="str">
        <f>"NUP107"</f>
        <v>NUP107</v>
      </c>
      <c r="B10975" t="s">
        <v>6</v>
      </c>
    </row>
    <row r="10976" spans="1:2" x14ac:dyDescent="0.2">
      <c r="A10976" t="str">
        <f>"NUP133"</f>
        <v>NUP133</v>
      </c>
      <c r="B10976" t="s">
        <v>3</v>
      </c>
    </row>
    <row r="10977" spans="1:2" x14ac:dyDescent="0.2">
      <c r="A10977" t="str">
        <f>"NUP153"</f>
        <v>NUP153</v>
      </c>
      <c r="B10977" t="s">
        <v>3</v>
      </c>
    </row>
    <row r="10978" spans="1:2" x14ac:dyDescent="0.2">
      <c r="A10978" t="str">
        <f>"NUP155"</f>
        <v>NUP155</v>
      </c>
      <c r="B10978" t="s">
        <v>6</v>
      </c>
    </row>
    <row r="10979" spans="1:2" x14ac:dyDescent="0.2">
      <c r="A10979" t="str">
        <f>"NUP160"</f>
        <v>NUP160</v>
      </c>
      <c r="B10979" t="s">
        <v>6</v>
      </c>
    </row>
    <row r="10980" spans="1:2" x14ac:dyDescent="0.2">
      <c r="A10980" t="str">
        <f>"NUP188"</f>
        <v>NUP188</v>
      </c>
      <c r="B10980" t="s">
        <v>6</v>
      </c>
    </row>
    <row r="10981" spans="1:2" x14ac:dyDescent="0.2">
      <c r="A10981" t="str">
        <f>"NUP205"</f>
        <v>NUP205</v>
      </c>
      <c r="B10981" t="s">
        <v>6</v>
      </c>
    </row>
    <row r="10982" spans="1:2" x14ac:dyDescent="0.2">
      <c r="A10982" t="str">
        <f>"NUP210"</f>
        <v>NUP210</v>
      </c>
      <c r="B10982" t="s">
        <v>2</v>
      </c>
    </row>
    <row r="10983" spans="1:2" x14ac:dyDescent="0.2">
      <c r="A10983" t="str">
        <f>"NUP210L"</f>
        <v>NUP210L</v>
      </c>
      <c r="B10983" t="s">
        <v>8</v>
      </c>
    </row>
    <row r="10984" spans="1:2" x14ac:dyDescent="0.2">
      <c r="A10984" t="str">
        <f>"NUP214"</f>
        <v>NUP214</v>
      </c>
      <c r="B10984" t="s">
        <v>3</v>
      </c>
    </row>
    <row r="10985" spans="1:2" x14ac:dyDescent="0.2">
      <c r="A10985" t="str">
        <f>"NUP35"</f>
        <v>NUP35</v>
      </c>
      <c r="B10985" t="s">
        <v>2</v>
      </c>
    </row>
    <row r="10986" spans="1:2" x14ac:dyDescent="0.2">
      <c r="A10986" t="str">
        <f>"NUP37"</f>
        <v>NUP37</v>
      </c>
      <c r="B10986" t="s">
        <v>6</v>
      </c>
    </row>
    <row r="10987" spans="1:2" x14ac:dyDescent="0.2">
      <c r="A10987" t="str">
        <f>"NUP43"</f>
        <v>NUP43</v>
      </c>
      <c r="B10987" t="s">
        <v>6</v>
      </c>
    </row>
    <row r="10988" spans="1:2" x14ac:dyDescent="0.2">
      <c r="A10988" t="str">
        <f>"NUP50"</f>
        <v>NUP50</v>
      </c>
      <c r="B10988" t="s">
        <v>6</v>
      </c>
    </row>
    <row r="10989" spans="1:2" x14ac:dyDescent="0.2">
      <c r="A10989" t="str">
        <f>"NUP54"</f>
        <v>NUP54</v>
      </c>
      <c r="B10989" t="s">
        <v>3</v>
      </c>
    </row>
    <row r="10990" spans="1:2" x14ac:dyDescent="0.2">
      <c r="A10990" t="str">
        <f>"NUP62"</f>
        <v>NUP62</v>
      </c>
      <c r="B10990" t="s">
        <v>3</v>
      </c>
    </row>
    <row r="10991" spans="1:2" x14ac:dyDescent="0.2">
      <c r="A10991" t="str">
        <f>"NUP62CL"</f>
        <v>NUP62CL</v>
      </c>
      <c r="B10991" t="s">
        <v>4</v>
      </c>
    </row>
    <row r="10992" spans="1:2" x14ac:dyDescent="0.2">
      <c r="A10992" t="str">
        <f>"NUP85"</f>
        <v>NUP85</v>
      </c>
      <c r="B10992" t="s">
        <v>3</v>
      </c>
    </row>
    <row r="10993" spans="1:2" x14ac:dyDescent="0.2">
      <c r="A10993" t="str">
        <f>"NUP88"</f>
        <v>NUP88</v>
      </c>
      <c r="B10993" t="s">
        <v>6</v>
      </c>
    </row>
    <row r="10994" spans="1:2" x14ac:dyDescent="0.2">
      <c r="A10994" t="str">
        <f>"NUP93"</f>
        <v>NUP93</v>
      </c>
      <c r="B10994" t="s">
        <v>6</v>
      </c>
    </row>
    <row r="10995" spans="1:2" x14ac:dyDescent="0.2">
      <c r="A10995" t="str">
        <f>"NUP98"</f>
        <v>NUP98</v>
      </c>
      <c r="B10995" t="s">
        <v>3</v>
      </c>
    </row>
    <row r="10996" spans="1:2" x14ac:dyDescent="0.2">
      <c r="A10996" t="str">
        <f>"NUPL1"</f>
        <v>NUPL1</v>
      </c>
      <c r="B10996" t="s">
        <v>3</v>
      </c>
    </row>
    <row r="10997" spans="1:2" x14ac:dyDescent="0.2">
      <c r="A10997" t="str">
        <f>"NUPL2"</f>
        <v>NUPL2</v>
      </c>
      <c r="B10997" t="s">
        <v>6</v>
      </c>
    </row>
    <row r="10998" spans="1:2" x14ac:dyDescent="0.2">
      <c r="A10998" t="str">
        <f>"NUPR1"</f>
        <v>NUPR1</v>
      </c>
      <c r="B10998" t="s">
        <v>3</v>
      </c>
    </row>
    <row r="10999" spans="1:2" x14ac:dyDescent="0.2">
      <c r="A10999" t="str">
        <f>"NUPR1L"</f>
        <v>NUPR1L</v>
      </c>
      <c r="B10999" t="s">
        <v>4</v>
      </c>
    </row>
    <row r="11000" spans="1:2" x14ac:dyDescent="0.2">
      <c r="A11000" t="str">
        <f>"NUS1"</f>
        <v>NUS1</v>
      </c>
      <c r="B11000" t="s">
        <v>2</v>
      </c>
    </row>
    <row r="11001" spans="1:2" x14ac:dyDescent="0.2">
      <c r="A11001" t="str">
        <f>"NUSAP1"</f>
        <v>NUSAP1</v>
      </c>
      <c r="B11001" t="s">
        <v>3</v>
      </c>
    </row>
    <row r="11002" spans="1:2" x14ac:dyDescent="0.2">
      <c r="A11002" t="str">
        <f>"NUTF2"</f>
        <v>NUTF2</v>
      </c>
      <c r="B11002" t="s">
        <v>2</v>
      </c>
    </row>
    <row r="11003" spans="1:2" x14ac:dyDescent="0.2">
      <c r="A11003" t="str">
        <f>"NUTM1"</f>
        <v>NUTM1</v>
      </c>
      <c r="B11003" t="s">
        <v>3</v>
      </c>
    </row>
    <row r="11004" spans="1:2" x14ac:dyDescent="0.2">
      <c r="A11004" t="str">
        <f>"NUTM2F"</f>
        <v>NUTM2F</v>
      </c>
      <c r="B11004" t="s">
        <v>4</v>
      </c>
    </row>
    <row r="11005" spans="1:2" x14ac:dyDescent="0.2">
      <c r="A11005" t="str">
        <f>"NUTM2G"</f>
        <v>NUTM2G</v>
      </c>
      <c r="B11005" t="s">
        <v>4</v>
      </c>
    </row>
    <row r="11006" spans="1:2" x14ac:dyDescent="0.2">
      <c r="A11006" t="str">
        <f>"NVL"</f>
        <v>NVL</v>
      </c>
      <c r="B11006" t="s">
        <v>6</v>
      </c>
    </row>
    <row r="11007" spans="1:2" x14ac:dyDescent="0.2">
      <c r="A11007" t="str">
        <f>"NWD1"</f>
        <v>NWD1</v>
      </c>
      <c r="B11007" t="s">
        <v>4</v>
      </c>
    </row>
    <row r="11008" spans="1:2" x14ac:dyDescent="0.2">
      <c r="A11008" t="str">
        <f>"NXF1"</f>
        <v>NXF1</v>
      </c>
      <c r="B11008" t="s">
        <v>6</v>
      </c>
    </row>
    <row r="11009" spans="1:2" x14ac:dyDescent="0.2">
      <c r="A11009" t="str">
        <f>"NXF2"</f>
        <v>NXF2</v>
      </c>
      <c r="B11009" t="s">
        <v>8</v>
      </c>
    </row>
    <row r="11010" spans="1:2" x14ac:dyDescent="0.2">
      <c r="A11010" t="str">
        <f>"NXF2B"</f>
        <v>NXF2B</v>
      </c>
      <c r="B11010" t="s">
        <v>8</v>
      </c>
    </row>
    <row r="11011" spans="1:2" x14ac:dyDescent="0.2">
      <c r="A11011" t="str">
        <f>"NXF3"</f>
        <v>NXF3</v>
      </c>
      <c r="B11011" t="s">
        <v>8</v>
      </c>
    </row>
    <row r="11012" spans="1:2" x14ac:dyDescent="0.2">
      <c r="A11012" t="str">
        <f>"NXF5"</f>
        <v>NXF5</v>
      </c>
      <c r="B11012" t="s">
        <v>8</v>
      </c>
    </row>
    <row r="11013" spans="1:2" x14ac:dyDescent="0.2">
      <c r="A11013" t="str">
        <f>"NXN"</f>
        <v>NXN</v>
      </c>
      <c r="B11013" t="s">
        <v>4</v>
      </c>
    </row>
    <row r="11014" spans="1:2" x14ac:dyDescent="0.2">
      <c r="A11014" t="str">
        <f>"NXNL1"</f>
        <v>NXNL1</v>
      </c>
      <c r="B11014" t="s">
        <v>6</v>
      </c>
    </row>
    <row r="11015" spans="1:2" x14ac:dyDescent="0.2">
      <c r="A11015" t="str">
        <f>"NXNL2"</f>
        <v>NXNL2</v>
      </c>
      <c r="B11015" t="s">
        <v>4</v>
      </c>
    </row>
    <row r="11016" spans="1:2" x14ac:dyDescent="0.2">
      <c r="A11016" t="str">
        <f>"NXPE1"</f>
        <v>NXPE1</v>
      </c>
      <c r="B11016" t="s">
        <v>5</v>
      </c>
    </row>
    <row r="11017" spans="1:2" x14ac:dyDescent="0.2">
      <c r="A11017" t="str">
        <f>"NXPE2"</f>
        <v>NXPE2</v>
      </c>
      <c r="B11017" t="s">
        <v>5</v>
      </c>
    </row>
    <row r="11018" spans="1:2" x14ac:dyDescent="0.2">
      <c r="A11018" t="str">
        <f>"NXPE3"</f>
        <v>NXPE3</v>
      </c>
      <c r="B11018" t="s">
        <v>6</v>
      </c>
    </row>
    <row r="11019" spans="1:2" x14ac:dyDescent="0.2">
      <c r="A11019" t="str">
        <f>"NXPE4"</f>
        <v>NXPE4</v>
      </c>
      <c r="B11019" t="s">
        <v>4</v>
      </c>
    </row>
    <row r="11020" spans="1:2" x14ac:dyDescent="0.2">
      <c r="A11020" t="str">
        <f>"NXPH1"</f>
        <v>NXPH1</v>
      </c>
      <c r="B11020" t="s">
        <v>4</v>
      </c>
    </row>
    <row r="11021" spans="1:2" x14ac:dyDescent="0.2">
      <c r="A11021" t="str">
        <f>"NXPH2"</f>
        <v>NXPH2</v>
      </c>
      <c r="B11021" t="s">
        <v>4</v>
      </c>
    </row>
    <row r="11022" spans="1:2" x14ac:dyDescent="0.2">
      <c r="A11022" t="str">
        <f>"NXPH3"</f>
        <v>NXPH3</v>
      </c>
      <c r="B11022" t="s">
        <v>4</v>
      </c>
    </row>
    <row r="11023" spans="1:2" x14ac:dyDescent="0.2">
      <c r="A11023" t="str">
        <f>"NXPH4"</f>
        <v>NXPH4</v>
      </c>
      <c r="B11023" t="s">
        <v>4</v>
      </c>
    </row>
    <row r="11024" spans="1:2" x14ac:dyDescent="0.2">
      <c r="A11024" t="str">
        <f>"NXT1"</f>
        <v>NXT1</v>
      </c>
      <c r="B11024" t="s">
        <v>6</v>
      </c>
    </row>
    <row r="11025" spans="1:2" x14ac:dyDescent="0.2">
      <c r="A11025" t="str">
        <f>"NXT2"</f>
        <v>NXT2</v>
      </c>
      <c r="B11025" t="s">
        <v>4</v>
      </c>
    </row>
    <row r="11026" spans="1:2" x14ac:dyDescent="0.2">
      <c r="A11026" t="str">
        <f>"NYAP1"</f>
        <v>NYAP1</v>
      </c>
      <c r="B11026" t="s">
        <v>4</v>
      </c>
    </row>
    <row r="11027" spans="1:2" x14ac:dyDescent="0.2">
      <c r="A11027" t="str">
        <f>"NYAP2"</f>
        <v>NYAP2</v>
      </c>
      <c r="B11027" t="s">
        <v>4</v>
      </c>
    </row>
    <row r="11028" spans="1:2" x14ac:dyDescent="0.2">
      <c r="A11028" t="str">
        <f>"NYNRIN"</f>
        <v>NYNRIN</v>
      </c>
      <c r="B11028" t="s">
        <v>8</v>
      </c>
    </row>
    <row r="11029" spans="1:2" x14ac:dyDescent="0.2">
      <c r="A11029" t="str">
        <f>"NYX"</f>
        <v>NYX</v>
      </c>
      <c r="B11029" t="s">
        <v>3</v>
      </c>
    </row>
    <row r="11030" spans="1:2" x14ac:dyDescent="0.2">
      <c r="A11030" t="str">
        <f>"OAF"</f>
        <v>OAF</v>
      </c>
      <c r="B11030" t="s">
        <v>2</v>
      </c>
    </row>
    <row r="11031" spans="1:2" x14ac:dyDescent="0.2">
      <c r="A11031" t="str">
        <f>"OARD1"</f>
        <v>OARD1</v>
      </c>
      <c r="B11031" t="s">
        <v>4</v>
      </c>
    </row>
    <row r="11032" spans="1:2" x14ac:dyDescent="0.2">
      <c r="A11032" t="str">
        <f>"OAS1"</f>
        <v>OAS1</v>
      </c>
      <c r="B11032" t="s">
        <v>7</v>
      </c>
    </row>
    <row r="11033" spans="1:2" x14ac:dyDescent="0.2">
      <c r="A11033" t="str">
        <f>"OAS2"</f>
        <v>OAS2</v>
      </c>
      <c r="B11033" t="s">
        <v>2</v>
      </c>
    </row>
    <row r="11034" spans="1:2" x14ac:dyDescent="0.2">
      <c r="A11034" t="str">
        <f>"OAS3"</f>
        <v>OAS3</v>
      </c>
      <c r="B11034" t="s">
        <v>8</v>
      </c>
    </row>
    <row r="11035" spans="1:2" x14ac:dyDescent="0.2">
      <c r="A11035" t="str">
        <f>"OASL"</f>
        <v>OASL</v>
      </c>
      <c r="B11035" t="s">
        <v>2</v>
      </c>
    </row>
    <row r="11036" spans="1:2" x14ac:dyDescent="0.2">
      <c r="A11036" t="str">
        <f>"OAT"</f>
        <v>OAT</v>
      </c>
      <c r="B11036" t="s">
        <v>7</v>
      </c>
    </row>
    <row r="11037" spans="1:2" x14ac:dyDescent="0.2">
      <c r="A11037" t="str">
        <f>"OAZ1"</f>
        <v>OAZ1</v>
      </c>
      <c r="B11037" t="s">
        <v>3</v>
      </c>
    </row>
    <row r="11038" spans="1:2" x14ac:dyDescent="0.2">
      <c r="A11038" t="str">
        <f>"OAZ2"</f>
        <v>OAZ2</v>
      </c>
      <c r="B11038" t="s">
        <v>7</v>
      </c>
    </row>
    <row r="11039" spans="1:2" x14ac:dyDescent="0.2">
      <c r="A11039" t="str">
        <f>"OAZ3"</f>
        <v>OAZ3</v>
      </c>
      <c r="B11039" t="s">
        <v>7</v>
      </c>
    </row>
    <row r="11040" spans="1:2" x14ac:dyDescent="0.2">
      <c r="A11040" t="str">
        <f>"OBFC1"</f>
        <v>OBFC1</v>
      </c>
      <c r="B11040" t="s">
        <v>4</v>
      </c>
    </row>
    <row r="11041" spans="1:2" x14ac:dyDescent="0.2">
      <c r="A11041" t="str">
        <f>"OBP2A"</f>
        <v>OBP2A</v>
      </c>
      <c r="B11041" t="s">
        <v>4</v>
      </c>
    </row>
    <row r="11042" spans="1:2" x14ac:dyDescent="0.2">
      <c r="A11042" t="str">
        <f>"OBP2B"</f>
        <v>OBP2B</v>
      </c>
      <c r="B11042" t="s">
        <v>4</v>
      </c>
    </row>
    <row r="11043" spans="1:2" x14ac:dyDescent="0.2">
      <c r="A11043" t="str">
        <f>"OBSCN"</f>
        <v>OBSCN</v>
      </c>
      <c r="B11043" t="s">
        <v>7</v>
      </c>
    </row>
    <row r="11044" spans="1:2" x14ac:dyDescent="0.2">
      <c r="A11044" t="str">
        <f>"OBSL1"</f>
        <v>OBSL1</v>
      </c>
      <c r="B11044" t="s">
        <v>4</v>
      </c>
    </row>
    <row r="11045" spans="1:2" x14ac:dyDescent="0.2">
      <c r="A11045" t="str">
        <f>"OC90"</f>
        <v>OC90</v>
      </c>
      <c r="B11045" t="s">
        <v>6</v>
      </c>
    </row>
    <row r="11046" spans="1:2" x14ac:dyDescent="0.2">
      <c r="A11046" t="str">
        <f>"OCA2"</f>
        <v>OCA2</v>
      </c>
      <c r="B11046" t="s">
        <v>5</v>
      </c>
    </row>
    <row r="11047" spans="1:2" x14ac:dyDescent="0.2">
      <c r="A11047" t="str">
        <f>"OCEL1"</f>
        <v>OCEL1</v>
      </c>
      <c r="B11047" t="s">
        <v>4</v>
      </c>
    </row>
    <row r="11048" spans="1:2" x14ac:dyDescent="0.2">
      <c r="A11048" t="str">
        <f>"OCIAD1"</f>
        <v>OCIAD1</v>
      </c>
      <c r="B11048" t="s">
        <v>6</v>
      </c>
    </row>
    <row r="11049" spans="1:2" x14ac:dyDescent="0.2">
      <c r="A11049" t="str">
        <f>"OCIAD2"</f>
        <v>OCIAD2</v>
      </c>
      <c r="B11049" t="s">
        <v>6</v>
      </c>
    </row>
    <row r="11050" spans="1:2" x14ac:dyDescent="0.2">
      <c r="A11050" t="str">
        <f>"OCLM"</f>
        <v>OCLM</v>
      </c>
      <c r="B11050" t="s">
        <v>5</v>
      </c>
    </row>
    <row r="11051" spans="1:2" x14ac:dyDescent="0.2">
      <c r="A11051" t="str">
        <f>"OCLN"</f>
        <v>OCLN</v>
      </c>
      <c r="B11051" t="s">
        <v>5</v>
      </c>
    </row>
    <row r="11052" spans="1:2" x14ac:dyDescent="0.2">
      <c r="A11052" t="str">
        <f>"OCM"</f>
        <v>OCM</v>
      </c>
      <c r="B11052" t="s">
        <v>4</v>
      </c>
    </row>
    <row r="11053" spans="1:2" x14ac:dyDescent="0.2">
      <c r="A11053" t="str">
        <f>"OCM2"</f>
        <v>OCM2</v>
      </c>
      <c r="B11053" t="s">
        <v>4</v>
      </c>
    </row>
    <row r="11054" spans="1:2" x14ac:dyDescent="0.2">
      <c r="A11054" t="str">
        <f>"OCRL"</f>
        <v>OCRL</v>
      </c>
      <c r="B11054" t="s">
        <v>3</v>
      </c>
    </row>
    <row r="11055" spans="1:2" x14ac:dyDescent="0.2">
      <c r="A11055" t="str">
        <f>"OCSTAMP"</f>
        <v>OCSTAMP</v>
      </c>
      <c r="B11055" t="s">
        <v>5</v>
      </c>
    </row>
    <row r="11056" spans="1:2" x14ac:dyDescent="0.2">
      <c r="A11056" t="str">
        <f>"ODAM"</f>
        <v>ODAM</v>
      </c>
      <c r="B11056" t="s">
        <v>4</v>
      </c>
    </row>
    <row r="11057" spans="1:2" x14ac:dyDescent="0.2">
      <c r="A11057" t="str">
        <f>"ODC1"</f>
        <v>ODC1</v>
      </c>
      <c r="B11057" t="s">
        <v>7</v>
      </c>
    </row>
    <row r="11058" spans="1:2" x14ac:dyDescent="0.2">
      <c r="A11058" t="str">
        <f>"ODF1"</f>
        <v>ODF1</v>
      </c>
      <c r="B11058" t="s">
        <v>4</v>
      </c>
    </row>
    <row r="11059" spans="1:2" x14ac:dyDescent="0.2">
      <c r="A11059" t="str">
        <f>"ODF2"</f>
        <v>ODF2</v>
      </c>
      <c r="B11059" t="s">
        <v>3</v>
      </c>
    </row>
    <row r="11060" spans="1:2" x14ac:dyDescent="0.2">
      <c r="A11060" t="str">
        <f>"ODF2L"</f>
        <v>ODF2L</v>
      </c>
      <c r="B11060" t="s">
        <v>4</v>
      </c>
    </row>
    <row r="11061" spans="1:2" x14ac:dyDescent="0.2">
      <c r="A11061" t="str">
        <f>"ODF3"</f>
        <v>ODF3</v>
      </c>
      <c r="B11061" t="s">
        <v>4</v>
      </c>
    </row>
    <row r="11062" spans="1:2" x14ac:dyDescent="0.2">
      <c r="A11062" t="str">
        <f>"ODF3B"</f>
        <v>ODF3B</v>
      </c>
      <c r="B11062" t="s">
        <v>4</v>
      </c>
    </row>
    <row r="11063" spans="1:2" x14ac:dyDescent="0.2">
      <c r="A11063" t="str">
        <f>"ODF3L1"</f>
        <v>ODF3L1</v>
      </c>
      <c r="B11063" t="s">
        <v>4</v>
      </c>
    </row>
    <row r="11064" spans="1:2" x14ac:dyDescent="0.2">
      <c r="A11064" t="str">
        <f>"ODF3L2"</f>
        <v>ODF3L2</v>
      </c>
      <c r="B11064" t="s">
        <v>4</v>
      </c>
    </row>
    <row r="11065" spans="1:2" x14ac:dyDescent="0.2">
      <c r="A11065" t="str">
        <f>"ODF4"</f>
        <v>ODF4</v>
      </c>
      <c r="B11065" t="s">
        <v>5</v>
      </c>
    </row>
    <row r="11066" spans="1:2" x14ac:dyDescent="0.2">
      <c r="A11066" t="str">
        <f>"OFCC1"</f>
        <v>OFCC1</v>
      </c>
      <c r="B11066" t="s">
        <v>5</v>
      </c>
    </row>
    <row r="11067" spans="1:2" x14ac:dyDescent="0.2">
      <c r="A11067" t="str">
        <f>"OFD1"</f>
        <v>OFD1</v>
      </c>
      <c r="B11067" t="s">
        <v>3</v>
      </c>
    </row>
    <row r="11068" spans="1:2" x14ac:dyDescent="0.2">
      <c r="A11068" t="str">
        <f>"OGDH"</f>
        <v>OGDH</v>
      </c>
      <c r="B11068" t="s">
        <v>7</v>
      </c>
    </row>
    <row r="11069" spans="1:2" x14ac:dyDescent="0.2">
      <c r="A11069" t="str">
        <f>"OGDHL"</f>
        <v>OGDHL</v>
      </c>
      <c r="B11069" t="s">
        <v>6</v>
      </c>
    </row>
    <row r="11070" spans="1:2" x14ac:dyDescent="0.2">
      <c r="A11070" t="str">
        <f>"OGFOD1"</f>
        <v>OGFOD1</v>
      </c>
      <c r="B11070" t="s">
        <v>7</v>
      </c>
    </row>
    <row r="11071" spans="1:2" x14ac:dyDescent="0.2">
      <c r="A11071" t="str">
        <f>"OGFOD2"</f>
        <v>OGFOD2</v>
      </c>
      <c r="B11071" t="s">
        <v>7</v>
      </c>
    </row>
    <row r="11072" spans="1:2" x14ac:dyDescent="0.2">
      <c r="A11072" t="str">
        <f>"OGFOD3"</f>
        <v>OGFOD3</v>
      </c>
      <c r="B11072" t="s">
        <v>6</v>
      </c>
    </row>
    <row r="11073" spans="1:2" x14ac:dyDescent="0.2">
      <c r="A11073" t="str">
        <f>"OGFR"</f>
        <v>OGFR</v>
      </c>
      <c r="B11073" t="s">
        <v>3</v>
      </c>
    </row>
    <row r="11074" spans="1:2" x14ac:dyDescent="0.2">
      <c r="A11074" t="str">
        <f>"OGFRL1"</f>
        <v>OGFRL1</v>
      </c>
      <c r="B11074" t="s">
        <v>4</v>
      </c>
    </row>
    <row r="11075" spans="1:2" x14ac:dyDescent="0.2">
      <c r="A11075" t="str">
        <f>"OGG1"</f>
        <v>OGG1</v>
      </c>
      <c r="B11075" t="s">
        <v>3</v>
      </c>
    </row>
    <row r="11076" spans="1:2" x14ac:dyDescent="0.2">
      <c r="A11076" t="str">
        <f>"OGN"</f>
        <v>OGN</v>
      </c>
      <c r="B11076" t="s">
        <v>2</v>
      </c>
    </row>
    <row r="11077" spans="1:2" x14ac:dyDescent="0.2">
      <c r="A11077" t="str">
        <f>"OGT"</f>
        <v>OGT</v>
      </c>
      <c r="B11077" t="s">
        <v>2</v>
      </c>
    </row>
    <row r="11078" spans="1:2" x14ac:dyDescent="0.2">
      <c r="A11078" t="str">
        <f>"OIP5"</f>
        <v>OIP5</v>
      </c>
      <c r="B11078" t="s">
        <v>8</v>
      </c>
    </row>
    <row r="11079" spans="1:2" x14ac:dyDescent="0.2">
      <c r="A11079" t="str">
        <f>"OIT3"</f>
        <v>OIT3</v>
      </c>
      <c r="B11079" t="s">
        <v>4</v>
      </c>
    </row>
    <row r="11080" spans="1:2" x14ac:dyDescent="0.2">
      <c r="A11080" t="str">
        <f>"OLA1"</f>
        <v>OLA1</v>
      </c>
      <c r="B11080" t="s">
        <v>2</v>
      </c>
    </row>
    <row r="11081" spans="1:2" x14ac:dyDescent="0.2">
      <c r="A11081" t="str">
        <f>"OLAH"</f>
        <v>OLAH</v>
      </c>
      <c r="B11081" t="s">
        <v>6</v>
      </c>
    </row>
    <row r="11082" spans="1:2" x14ac:dyDescent="0.2">
      <c r="A11082" t="str">
        <f>"OLFM1"</f>
        <v>OLFM1</v>
      </c>
      <c r="B11082" t="s">
        <v>2</v>
      </c>
    </row>
    <row r="11083" spans="1:2" x14ac:dyDescent="0.2">
      <c r="A11083" t="str">
        <f>"OLFM2"</f>
        <v>OLFM2</v>
      </c>
      <c r="B11083" t="s">
        <v>4</v>
      </c>
    </row>
    <row r="11084" spans="1:2" x14ac:dyDescent="0.2">
      <c r="A11084" t="str">
        <f>"OLFM3"</f>
        <v>OLFM3</v>
      </c>
      <c r="B11084" t="s">
        <v>3</v>
      </c>
    </row>
    <row r="11085" spans="1:2" x14ac:dyDescent="0.2">
      <c r="A11085" t="str">
        <f>"OLFM4"</f>
        <v>OLFM4</v>
      </c>
      <c r="B11085" t="s">
        <v>6</v>
      </c>
    </row>
    <row r="11086" spans="1:2" x14ac:dyDescent="0.2">
      <c r="A11086" t="str">
        <f>"OLFML1"</f>
        <v>OLFML1</v>
      </c>
      <c r="B11086" t="s">
        <v>4</v>
      </c>
    </row>
    <row r="11087" spans="1:2" x14ac:dyDescent="0.2">
      <c r="A11087" t="str">
        <f>"OLFML2A"</f>
        <v>OLFML2A</v>
      </c>
      <c r="B11087" t="s">
        <v>4</v>
      </c>
    </row>
    <row r="11088" spans="1:2" x14ac:dyDescent="0.2">
      <c r="A11088" t="str">
        <f>"OLFML2B"</f>
        <v>OLFML2B</v>
      </c>
      <c r="B11088" t="s">
        <v>4</v>
      </c>
    </row>
    <row r="11089" spans="1:2" x14ac:dyDescent="0.2">
      <c r="A11089" t="str">
        <f>"OLFML3"</f>
        <v>OLFML3</v>
      </c>
      <c r="B11089" t="s">
        <v>4</v>
      </c>
    </row>
    <row r="11090" spans="1:2" x14ac:dyDescent="0.2">
      <c r="A11090" t="str">
        <f>"OLIG1"</f>
        <v>OLIG1</v>
      </c>
      <c r="B11090" t="s">
        <v>3</v>
      </c>
    </row>
    <row r="11091" spans="1:2" x14ac:dyDescent="0.2">
      <c r="A11091" t="str">
        <f>"OLIG2"</f>
        <v>OLIG2</v>
      </c>
      <c r="B11091" t="s">
        <v>3</v>
      </c>
    </row>
    <row r="11092" spans="1:2" x14ac:dyDescent="0.2">
      <c r="A11092" t="str">
        <f>"OLIG3"</f>
        <v>OLIG3</v>
      </c>
      <c r="B11092" t="s">
        <v>8</v>
      </c>
    </row>
    <row r="11093" spans="1:2" x14ac:dyDescent="0.2">
      <c r="A11093" t="str">
        <f>"OLR1"</f>
        <v>OLR1</v>
      </c>
      <c r="B11093" t="s">
        <v>2</v>
      </c>
    </row>
    <row r="11094" spans="1:2" x14ac:dyDescent="0.2">
      <c r="A11094" t="str">
        <f>"OMA1"</f>
        <v>OMA1</v>
      </c>
      <c r="B11094" t="s">
        <v>2</v>
      </c>
    </row>
    <row r="11095" spans="1:2" x14ac:dyDescent="0.2">
      <c r="A11095" t="str">
        <f>"OMD"</f>
        <v>OMD</v>
      </c>
      <c r="B11095" t="s">
        <v>3</v>
      </c>
    </row>
    <row r="11096" spans="1:2" x14ac:dyDescent="0.2">
      <c r="A11096" t="str">
        <f>"OMG"</f>
        <v>OMG</v>
      </c>
      <c r="B11096" t="s">
        <v>3</v>
      </c>
    </row>
    <row r="11097" spans="1:2" x14ac:dyDescent="0.2">
      <c r="A11097" t="str">
        <f>"OMP"</f>
        <v>OMP</v>
      </c>
      <c r="B11097" t="s">
        <v>4</v>
      </c>
    </row>
    <row r="11098" spans="1:2" x14ac:dyDescent="0.2">
      <c r="A11098" t="str">
        <f>"ONECUT1"</f>
        <v>ONECUT1</v>
      </c>
      <c r="B11098" t="s">
        <v>2</v>
      </c>
    </row>
    <row r="11099" spans="1:2" x14ac:dyDescent="0.2">
      <c r="A11099" t="str">
        <f>"ONECUT2"</f>
        <v>ONECUT2</v>
      </c>
      <c r="B11099" t="s">
        <v>8</v>
      </c>
    </row>
    <row r="11100" spans="1:2" x14ac:dyDescent="0.2">
      <c r="A11100" t="str">
        <f>"ONECUT3"</f>
        <v>ONECUT3</v>
      </c>
      <c r="B11100" t="s">
        <v>8</v>
      </c>
    </row>
    <row r="11101" spans="1:2" x14ac:dyDescent="0.2">
      <c r="A11101" t="str">
        <f>"OOEP"</f>
        <v>OOEP</v>
      </c>
      <c r="B11101" t="s">
        <v>4</v>
      </c>
    </row>
    <row r="11102" spans="1:2" x14ac:dyDescent="0.2">
      <c r="A11102" t="str">
        <f>"OOSP1"</f>
        <v>OOSP1</v>
      </c>
      <c r="B11102" t="s">
        <v>4</v>
      </c>
    </row>
    <row r="11103" spans="1:2" x14ac:dyDescent="0.2">
      <c r="A11103" t="str">
        <f>"OPA1"</f>
        <v>OPA1</v>
      </c>
      <c r="B11103" t="s">
        <v>2</v>
      </c>
    </row>
    <row r="11104" spans="1:2" x14ac:dyDescent="0.2">
      <c r="A11104" t="str">
        <f>"OPA3"</f>
        <v>OPA3</v>
      </c>
      <c r="B11104" t="s">
        <v>6</v>
      </c>
    </row>
    <row r="11105" spans="1:2" x14ac:dyDescent="0.2">
      <c r="A11105" t="str">
        <f>"OPALIN"</f>
        <v>OPALIN</v>
      </c>
      <c r="B11105" t="s">
        <v>5</v>
      </c>
    </row>
    <row r="11106" spans="1:2" x14ac:dyDescent="0.2">
      <c r="A11106" t="str">
        <f>"OPCML"</f>
        <v>OPCML</v>
      </c>
      <c r="B11106" t="s">
        <v>6</v>
      </c>
    </row>
    <row r="11107" spans="1:2" x14ac:dyDescent="0.2">
      <c r="A11107" t="str">
        <f>"OPHN1"</f>
        <v>OPHN1</v>
      </c>
      <c r="B11107" t="s">
        <v>6</v>
      </c>
    </row>
    <row r="11108" spans="1:2" x14ac:dyDescent="0.2">
      <c r="A11108" t="str">
        <f>"OPLAH"</f>
        <v>OPLAH</v>
      </c>
      <c r="B11108" t="s">
        <v>7</v>
      </c>
    </row>
    <row r="11109" spans="1:2" x14ac:dyDescent="0.2">
      <c r="A11109" t="str">
        <f>"OPN1LW"</f>
        <v>OPN1LW</v>
      </c>
      <c r="B11109" t="s">
        <v>5</v>
      </c>
    </row>
    <row r="11110" spans="1:2" x14ac:dyDescent="0.2">
      <c r="A11110" t="str">
        <f>"OPN1MW"</f>
        <v>OPN1MW</v>
      </c>
      <c r="B11110" t="s">
        <v>5</v>
      </c>
    </row>
    <row r="11111" spans="1:2" x14ac:dyDescent="0.2">
      <c r="A11111" t="str">
        <f>"OPN1MW2"</f>
        <v>OPN1MW2</v>
      </c>
      <c r="B11111" t="s">
        <v>5</v>
      </c>
    </row>
    <row r="11112" spans="1:2" x14ac:dyDescent="0.2">
      <c r="A11112" t="str">
        <f>"OPN1SW"</f>
        <v>OPN1SW</v>
      </c>
      <c r="B11112" t="s">
        <v>5</v>
      </c>
    </row>
    <row r="11113" spans="1:2" x14ac:dyDescent="0.2">
      <c r="A11113" t="str">
        <f>"OPN3"</f>
        <v>OPN3</v>
      </c>
      <c r="B11113" t="s">
        <v>5</v>
      </c>
    </row>
    <row r="11114" spans="1:2" x14ac:dyDescent="0.2">
      <c r="A11114" t="str">
        <f>"OPN4"</f>
        <v>OPN4</v>
      </c>
      <c r="B11114" t="s">
        <v>5</v>
      </c>
    </row>
    <row r="11115" spans="1:2" x14ac:dyDescent="0.2">
      <c r="A11115" t="str">
        <f>"OPN5"</f>
        <v>OPN5</v>
      </c>
      <c r="B11115" t="s">
        <v>5</v>
      </c>
    </row>
    <row r="11116" spans="1:2" x14ac:dyDescent="0.2">
      <c r="A11116" t="str">
        <f>"OPRD1"</f>
        <v>OPRD1</v>
      </c>
      <c r="B11116" t="s">
        <v>7</v>
      </c>
    </row>
    <row r="11117" spans="1:2" x14ac:dyDescent="0.2">
      <c r="A11117" t="str">
        <f>"OPRK1"</f>
        <v>OPRK1</v>
      </c>
      <c r="B11117" t="s">
        <v>7</v>
      </c>
    </row>
    <row r="11118" spans="1:2" x14ac:dyDescent="0.2">
      <c r="A11118" t="str">
        <f>"OPRL1"</f>
        <v>OPRL1</v>
      </c>
      <c r="B11118" t="s">
        <v>7</v>
      </c>
    </row>
    <row r="11119" spans="1:2" x14ac:dyDescent="0.2">
      <c r="A11119" t="str">
        <f>"OPRM1"</f>
        <v>OPRM1</v>
      </c>
      <c r="B11119" t="s">
        <v>7</v>
      </c>
    </row>
    <row r="11120" spans="1:2" x14ac:dyDescent="0.2">
      <c r="A11120" t="str">
        <f>"OPTC"</f>
        <v>OPTC</v>
      </c>
      <c r="B11120" t="s">
        <v>4</v>
      </c>
    </row>
    <row r="11121" spans="1:2" x14ac:dyDescent="0.2">
      <c r="A11121" t="str">
        <f>"OPTN"</f>
        <v>OPTN</v>
      </c>
      <c r="B11121" t="s">
        <v>2</v>
      </c>
    </row>
    <row r="11122" spans="1:2" x14ac:dyDescent="0.2">
      <c r="A11122" t="str">
        <f>"OR10A2"</f>
        <v>OR10A2</v>
      </c>
      <c r="B11122" t="s">
        <v>5</v>
      </c>
    </row>
    <row r="11123" spans="1:2" x14ac:dyDescent="0.2">
      <c r="A11123" t="str">
        <f>"OR10A3"</f>
        <v>OR10A3</v>
      </c>
      <c r="B11123" t="s">
        <v>5</v>
      </c>
    </row>
    <row r="11124" spans="1:2" x14ac:dyDescent="0.2">
      <c r="A11124" t="str">
        <f>"OR10A4"</f>
        <v>OR10A4</v>
      </c>
      <c r="B11124" t="s">
        <v>5</v>
      </c>
    </row>
    <row r="11125" spans="1:2" x14ac:dyDescent="0.2">
      <c r="A11125" t="str">
        <f>"OR10A5"</f>
        <v>OR10A5</v>
      </c>
      <c r="B11125" t="s">
        <v>5</v>
      </c>
    </row>
    <row r="11126" spans="1:2" x14ac:dyDescent="0.2">
      <c r="A11126" t="str">
        <f>"OR10A6"</f>
        <v>OR10A6</v>
      </c>
      <c r="B11126" t="s">
        <v>5</v>
      </c>
    </row>
    <row r="11127" spans="1:2" x14ac:dyDescent="0.2">
      <c r="A11127" t="str">
        <f>"OR10A7"</f>
        <v>OR10A7</v>
      </c>
      <c r="B11127" t="s">
        <v>5</v>
      </c>
    </row>
    <row r="11128" spans="1:2" x14ac:dyDescent="0.2">
      <c r="A11128" t="str">
        <f>"OR10AD1"</f>
        <v>OR10AD1</v>
      </c>
      <c r="B11128" t="s">
        <v>5</v>
      </c>
    </row>
    <row r="11129" spans="1:2" x14ac:dyDescent="0.2">
      <c r="A11129" t="str">
        <f>"OR10AG1"</f>
        <v>OR10AG1</v>
      </c>
      <c r="B11129" t="s">
        <v>2</v>
      </c>
    </row>
    <row r="11130" spans="1:2" x14ac:dyDescent="0.2">
      <c r="A11130" t="str">
        <f>"OR10C1"</f>
        <v>OR10C1</v>
      </c>
      <c r="B11130" t="s">
        <v>5</v>
      </c>
    </row>
    <row r="11131" spans="1:2" x14ac:dyDescent="0.2">
      <c r="A11131" t="str">
        <f>"OR10G2"</f>
        <v>OR10G2</v>
      </c>
      <c r="B11131" t="s">
        <v>5</v>
      </c>
    </row>
    <row r="11132" spans="1:2" x14ac:dyDescent="0.2">
      <c r="A11132" t="str">
        <f>"OR10G3"</f>
        <v>OR10G3</v>
      </c>
      <c r="B11132" t="s">
        <v>5</v>
      </c>
    </row>
    <row r="11133" spans="1:2" x14ac:dyDescent="0.2">
      <c r="A11133" t="str">
        <f>"OR10G4"</f>
        <v>OR10G4</v>
      </c>
      <c r="B11133" t="s">
        <v>4</v>
      </c>
    </row>
    <row r="11134" spans="1:2" x14ac:dyDescent="0.2">
      <c r="A11134" t="str">
        <f>"OR10G7"</f>
        <v>OR10G7</v>
      </c>
      <c r="B11134" t="s">
        <v>5</v>
      </c>
    </row>
    <row r="11135" spans="1:2" x14ac:dyDescent="0.2">
      <c r="A11135" t="str">
        <f>"OR10G8"</f>
        <v>OR10G8</v>
      </c>
      <c r="B11135" t="s">
        <v>4</v>
      </c>
    </row>
    <row r="11136" spans="1:2" x14ac:dyDescent="0.2">
      <c r="A11136" t="str">
        <f>"OR10G9"</f>
        <v>OR10G9</v>
      </c>
      <c r="B11136" t="s">
        <v>4</v>
      </c>
    </row>
    <row r="11137" spans="1:2" x14ac:dyDescent="0.2">
      <c r="A11137" t="str">
        <f>"OR10H1"</f>
        <v>OR10H1</v>
      </c>
      <c r="B11137" t="s">
        <v>5</v>
      </c>
    </row>
    <row r="11138" spans="1:2" x14ac:dyDescent="0.2">
      <c r="A11138" t="str">
        <f>"OR10H2"</f>
        <v>OR10H2</v>
      </c>
      <c r="B11138" t="s">
        <v>5</v>
      </c>
    </row>
    <row r="11139" spans="1:2" x14ac:dyDescent="0.2">
      <c r="A11139" t="str">
        <f>"OR10H3"</f>
        <v>OR10H3</v>
      </c>
      <c r="B11139" t="s">
        <v>5</v>
      </c>
    </row>
    <row r="11140" spans="1:2" x14ac:dyDescent="0.2">
      <c r="A11140" t="str">
        <f>"OR10H4"</f>
        <v>OR10H4</v>
      </c>
      <c r="B11140" t="s">
        <v>5</v>
      </c>
    </row>
    <row r="11141" spans="1:2" x14ac:dyDescent="0.2">
      <c r="A11141" t="str">
        <f>"OR10H5"</f>
        <v>OR10H5</v>
      </c>
      <c r="B11141" t="s">
        <v>5</v>
      </c>
    </row>
    <row r="11142" spans="1:2" x14ac:dyDescent="0.2">
      <c r="A11142" t="str">
        <f>"OR10J1"</f>
        <v>OR10J1</v>
      </c>
      <c r="B11142" t="s">
        <v>5</v>
      </c>
    </row>
    <row r="11143" spans="1:2" x14ac:dyDescent="0.2">
      <c r="A11143" t="str">
        <f>"OR10J3"</f>
        <v>OR10J3</v>
      </c>
      <c r="B11143" t="s">
        <v>3</v>
      </c>
    </row>
    <row r="11144" spans="1:2" x14ac:dyDescent="0.2">
      <c r="A11144" t="str">
        <f>"OR10J5"</f>
        <v>OR10J5</v>
      </c>
      <c r="B11144" t="s">
        <v>5</v>
      </c>
    </row>
    <row r="11145" spans="1:2" x14ac:dyDescent="0.2">
      <c r="A11145" t="str">
        <f>"OR10K1"</f>
        <v>OR10K1</v>
      </c>
      <c r="B11145" t="s">
        <v>5</v>
      </c>
    </row>
    <row r="11146" spans="1:2" x14ac:dyDescent="0.2">
      <c r="A11146" t="str">
        <f>"OR10K2"</f>
        <v>OR10K2</v>
      </c>
      <c r="B11146" t="s">
        <v>5</v>
      </c>
    </row>
    <row r="11147" spans="1:2" x14ac:dyDescent="0.2">
      <c r="A11147" t="str">
        <f>"OR10P1"</f>
        <v>OR10P1</v>
      </c>
      <c r="B11147" t="s">
        <v>5</v>
      </c>
    </row>
    <row r="11148" spans="1:2" x14ac:dyDescent="0.2">
      <c r="A11148" t="str">
        <f>"OR10Q1"</f>
        <v>OR10Q1</v>
      </c>
      <c r="B11148" t="s">
        <v>5</v>
      </c>
    </row>
    <row r="11149" spans="1:2" x14ac:dyDescent="0.2">
      <c r="A11149" t="str">
        <f>"OR10R2"</f>
        <v>OR10R2</v>
      </c>
      <c r="B11149" t="s">
        <v>5</v>
      </c>
    </row>
    <row r="11150" spans="1:2" x14ac:dyDescent="0.2">
      <c r="A11150" t="str">
        <f>"OR10S1"</f>
        <v>OR10S1</v>
      </c>
      <c r="B11150" t="s">
        <v>5</v>
      </c>
    </row>
    <row r="11151" spans="1:2" x14ac:dyDescent="0.2">
      <c r="A11151" t="str">
        <f>"OR10T2"</f>
        <v>OR10T2</v>
      </c>
      <c r="B11151" t="s">
        <v>5</v>
      </c>
    </row>
    <row r="11152" spans="1:2" x14ac:dyDescent="0.2">
      <c r="A11152" t="str">
        <f>"OR10V1"</f>
        <v>OR10V1</v>
      </c>
      <c r="B11152" t="s">
        <v>5</v>
      </c>
    </row>
    <row r="11153" spans="1:2" x14ac:dyDescent="0.2">
      <c r="A11153" t="str">
        <f>"OR10W1"</f>
        <v>OR10W1</v>
      </c>
      <c r="B11153" t="s">
        <v>4</v>
      </c>
    </row>
    <row r="11154" spans="1:2" x14ac:dyDescent="0.2">
      <c r="A11154" t="str">
        <f>"OR10X1"</f>
        <v>OR10X1</v>
      </c>
      <c r="B11154" t="s">
        <v>5</v>
      </c>
    </row>
    <row r="11155" spans="1:2" x14ac:dyDescent="0.2">
      <c r="A11155" t="str">
        <f>"OR10Z1"</f>
        <v>OR10Z1</v>
      </c>
      <c r="B11155" t="s">
        <v>5</v>
      </c>
    </row>
    <row r="11156" spans="1:2" x14ac:dyDescent="0.2">
      <c r="A11156" t="str">
        <f>"OR11A1"</f>
        <v>OR11A1</v>
      </c>
      <c r="B11156" t="s">
        <v>5</v>
      </c>
    </row>
    <row r="11157" spans="1:2" x14ac:dyDescent="0.2">
      <c r="A11157" t="str">
        <f>"OR11G2"</f>
        <v>OR11G2</v>
      </c>
      <c r="B11157" t="s">
        <v>5</v>
      </c>
    </row>
    <row r="11158" spans="1:2" x14ac:dyDescent="0.2">
      <c r="A11158" t="str">
        <f>"OR11H4"</f>
        <v>OR11H4</v>
      </c>
      <c r="B11158" t="s">
        <v>5</v>
      </c>
    </row>
    <row r="11159" spans="1:2" x14ac:dyDescent="0.2">
      <c r="A11159" t="str">
        <f>"OR11H6"</f>
        <v>OR11H6</v>
      </c>
      <c r="B11159" t="s">
        <v>5</v>
      </c>
    </row>
    <row r="11160" spans="1:2" x14ac:dyDescent="0.2">
      <c r="A11160" t="str">
        <f>"OR11L1"</f>
        <v>OR11L1</v>
      </c>
      <c r="B11160" t="s">
        <v>5</v>
      </c>
    </row>
    <row r="11161" spans="1:2" x14ac:dyDescent="0.2">
      <c r="A11161" t="str">
        <f>"OR12D2"</f>
        <v>OR12D2</v>
      </c>
      <c r="B11161" t="s">
        <v>5</v>
      </c>
    </row>
    <row r="11162" spans="1:2" x14ac:dyDescent="0.2">
      <c r="A11162" t="str">
        <f>"OR12D3"</f>
        <v>OR12D3</v>
      </c>
      <c r="B11162" t="s">
        <v>5</v>
      </c>
    </row>
    <row r="11163" spans="1:2" x14ac:dyDescent="0.2">
      <c r="A11163" t="str">
        <f>"OR13A1"</f>
        <v>OR13A1</v>
      </c>
      <c r="B11163" t="s">
        <v>5</v>
      </c>
    </row>
    <row r="11164" spans="1:2" x14ac:dyDescent="0.2">
      <c r="A11164" t="str">
        <f>"OR13C2"</f>
        <v>OR13C2</v>
      </c>
      <c r="B11164" t="s">
        <v>5</v>
      </c>
    </row>
    <row r="11165" spans="1:2" x14ac:dyDescent="0.2">
      <c r="A11165" t="str">
        <f>"OR13C3"</f>
        <v>OR13C3</v>
      </c>
      <c r="B11165" t="s">
        <v>5</v>
      </c>
    </row>
    <row r="11166" spans="1:2" x14ac:dyDescent="0.2">
      <c r="A11166" t="str">
        <f>"OR13C4"</f>
        <v>OR13C4</v>
      </c>
      <c r="B11166" t="s">
        <v>5</v>
      </c>
    </row>
    <row r="11167" spans="1:2" x14ac:dyDescent="0.2">
      <c r="A11167" t="str">
        <f>"OR13C5"</f>
        <v>OR13C5</v>
      </c>
      <c r="B11167" t="s">
        <v>5</v>
      </c>
    </row>
    <row r="11168" spans="1:2" x14ac:dyDescent="0.2">
      <c r="A11168" t="str">
        <f>"OR13C8"</f>
        <v>OR13C8</v>
      </c>
      <c r="B11168" t="s">
        <v>5</v>
      </c>
    </row>
    <row r="11169" spans="1:2" x14ac:dyDescent="0.2">
      <c r="A11169" t="str">
        <f>"OR13C9"</f>
        <v>OR13C9</v>
      </c>
      <c r="B11169" t="s">
        <v>5</v>
      </c>
    </row>
    <row r="11170" spans="1:2" x14ac:dyDescent="0.2">
      <c r="A11170" t="str">
        <f>"OR13D1"</f>
        <v>OR13D1</v>
      </c>
      <c r="B11170" t="s">
        <v>5</v>
      </c>
    </row>
    <row r="11171" spans="1:2" x14ac:dyDescent="0.2">
      <c r="A11171" t="str">
        <f>"OR13F1"</f>
        <v>OR13F1</v>
      </c>
      <c r="B11171" t="s">
        <v>5</v>
      </c>
    </row>
    <row r="11172" spans="1:2" x14ac:dyDescent="0.2">
      <c r="A11172" t="str">
        <f>"OR13G1"</f>
        <v>OR13G1</v>
      </c>
      <c r="B11172" t="s">
        <v>2</v>
      </c>
    </row>
    <row r="11173" spans="1:2" x14ac:dyDescent="0.2">
      <c r="A11173" t="str">
        <f>"OR13H1"</f>
        <v>OR13H1</v>
      </c>
      <c r="B11173" t="s">
        <v>5</v>
      </c>
    </row>
    <row r="11174" spans="1:2" x14ac:dyDescent="0.2">
      <c r="A11174" t="str">
        <f>"OR13J1"</f>
        <v>OR13J1</v>
      </c>
      <c r="B11174" t="s">
        <v>5</v>
      </c>
    </row>
    <row r="11175" spans="1:2" x14ac:dyDescent="0.2">
      <c r="A11175" t="str">
        <f>"OR14A16"</f>
        <v>OR14A16</v>
      </c>
      <c r="B11175" t="s">
        <v>5</v>
      </c>
    </row>
    <row r="11176" spans="1:2" x14ac:dyDescent="0.2">
      <c r="A11176" t="str">
        <f>"OR14C36"</f>
        <v>OR14C36</v>
      </c>
      <c r="B11176" t="s">
        <v>5</v>
      </c>
    </row>
    <row r="11177" spans="1:2" x14ac:dyDescent="0.2">
      <c r="A11177" t="str">
        <f>"OR14I1"</f>
        <v>OR14I1</v>
      </c>
      <c r="B11177" t="s">
        <v>5</v>
      </c>
    </row>
    <row r="11178" spans="1:2" x14ac:dyDescent="0.2">
      <c r="A11178" t="str">
        <f>"OR14J1"</f>
        <v>OR14J1</v>
      </c>
      <c r="B11178" t="s">
        <v>5</v>
      </c>
    </row>
    <row r="11179" spans="1:2" x14ac:dyDescent="0.2">
      <c r="A11179" t="str">
        <f>"OR1A1"</f>
        <v>OR1A1</v>
      </c>
      <c r="B11179" t="s">
        <v>5</v>
      </c>
    </row>
    <row r="11180" spans="1:2" x14ac:dyDescent="0.2">
      <c r="A11180" t="str">
        <f>"OR1A2"</f>
        <v>OR1A2</v>
      </c>
      <c r="B11180" t="s">
        <v>5</v>
      </c>
    </row>
    <row r="11181" spans="1:2" x14ac:dyDescent="0.2">
      <c r="A11181" t="str">
        <f>"OR1B1"</f>
        <v>OR1B1</v>
      </c>
      <c r="B11181" t="s">
        <v>5</v>
      </c>
    </row>
    <row r="11182" spans="1:2" x14ac:dyDescent="0.2">
      <c r="A11182" t="str">
        <f>"OR1C1"</f>
        <v>OR1C1</v>
      </c>
      <c r="B11182" t="s">
        <v>5</v>
      </c>
    </row>
    <row r="11183" spans="1:2" x14ac:dyDescent="0.2">
      <c r="A11183" t="str">
        <f>"OR1D2"</f>
        <v>OR1D2</v>
      </c>
      <c r="B11183" t="s">
        <v>5</v>
      </c>
    </row>
    <row r="11184" spans="1:2" x14ac:dyDescent="0.2">
      <c r="A11184" t="str">
        <f>"OR1D5"</f>
        <v>OR1D5</v>
      </c>
      <c r="B11184" t="s">
        <v>5</v>
      </c>
    </row>
    <row r="11185" spans="1:2" x14ac:dyDescent="0.2">
      <c r="A11185" t="str">
        <f>"OR1E1"</f>
        <v>OR1E1</v>
      </c>
      <c r="B11185" t="s">
        <v>5</v>
      </c>
    </row>
    <row r="11186" spans="1:2" x14ac:dyDescent="0.2">
      <c r="A11186" t="str">
        <f>"OR1E2"</f>
        <v>OR1E2</v>
      </c>
      <c r="B11186" t="s">
        <v>5</v>
      </c>
    </row>
    <row r="11187" spans="1:2" x14ac:dyDescent="0.2">
      <c r="A11187" t="str">
        <f>"OR1F1"</f>
        <v>OR1F1</v>
      </c>
      <c r="B11187" t="s">
        <v>5</v>
      </c>
    </row>
    <row r="11188" spans="1:2" x14ac:dyDescent="0.2">
      <c r="A11188" t="str">
        <f>"OR1G1"</f>
        <v>OR1G1</v>
      </c>
      <c r="B11188" t="s">
        <v>5</v>
      </c>
    </row>
    <row r="11189" spans="1:2" x14ac:dyDescent="0.2">
      <c r="A11189" t="str">
        <f>"OR1I1"</f>
        <v>OR1I1</v>
      </c>
      <c r="B11189" t="s">
        <v>5</v>
      </c>
    </row>
    <row r="11190" spans="1:2" x14ac:dyDescent="0.2">
      <c r="A11190" t="str">
        <f>"OR1J1"</f>
        <v>OR1J1</v>
      </c>
      <c r="B11190" t="s">
        <v>5</v>
      </c>
    </row>
    <row r="11191" spans="1:2" x14ac:dyDescent="0.2">
      <c r="A11191" t="str">
        <f>"OR1J2"</f>
        <v>OR1J2</v>
      </c>
      <c r="B11191" t="s">
        <v>5</v>
      </c>
    </row>
    <row r="11192" spans="1:2" x14ac:dyDescent="0.2">
      <c r="A11192" t="str">
        <f>"OR1J4"</f>
        <v>OR1J4</v>
      </c>
      <c r="B11192" t="s">
        <v>5</v>
      </c>
    </row>
    <row r="11193" spans="1:2" x14ac:dyDescent="0.2">
      <c r="A11193" t="str">
        <f>"OR1K1"</f>
        <v>OR1K1</v>
      </c>
      <c r="B11193" t="s">
        <v>5</v>
      </c>
    </row>
    <row r="11194" spans="1:2" x14ac:dyDescent="0.2">
      <c r="A11194" t="str">
        <f>"OR1L1"</f>
        <v>OR1L1</v>
      </c>
      <c r="B11194" t="s">
        <v>5</v>
      </c>
    </row>
    <row r="11195" spans="1:2" x14ac:dyDescent="0.2">
      <c r="A11195" t="str">
        <f>"OR1L3"</f>
        <v>OR1L3</v>
      </c>
      <c r="B11195" t="s">
        <v>5</v>
      </c>
    </row>
    <row r="11196" spans="1:2" x14ac:dyDescent="0.2">
      <c r="A11196" t="str">
        <f>"OR1L4"</f>
        <v>OR1L4</v>
      </c>
      <c r="B11196" t="s">
        <v>5</v>
      </c>
    </row>
    <row r="11197" spans="1:2" x14ac:dyDescent="0.2">
      <c r="A11197" t="str">
        <f>"OR1L6"</f>
        <v>OR1L6</v>
      </c>
      <c r="B11197" t="s">
        <v>5</v>
      </c>
    </row>
    <row r="11198" spans="1:2" x14ac:dyDescent="0.2">
      <c r="A11198" t="str">
        <f>"OR1L8"</f>
        <v>OR1L8</v>
      </c>
      <c r="B11198" t="s">
        <v>5</v>
      </c>
    </row>
    <row r="11199" spans="1:2" x14ac:dyDescent="0.2">
      <c r="A11199" t="str">
        <f>"OR1M1"</f>
        <v>OR1M1</v>
      </c>
      <c r="B11199" t="s">
        <v>5</v>
      </c>
    </row>
    <row r="11200" spans="1:2" x14ac:dyDescent="0.2">
      <c r="A11200" t="str">
        <f>"OR1N1"</f>
        <v>OR1N1</v>
      </c>
      <c r="B11200" t="s">
        <v>5</v>
      </c>
    </row>
    <row r="11201" spans="1:2" x14ac:dyDescent="0.2">
      <c r="A11201" t="str">
        <f>"OR1N2"</f>
        <v>OR1N2</v>
      </c>
      <c r="B11201" t="s">
        <v>5</v>
      </c>
    </row>
    <row r="11202" spans="1:2" x14ac:dyDescent="0.2">
      <c r="A11202" t="str">
        <f>"OR1Q1"</f>
        <v>OR1Q1</v>
      </c>
      <c r="B11202" t="s">
        <v>5</v>
      </c>
    </row>
    <row r="11203" spans="1:2" x14ac:dyDescent="0.2">
      <c r="A11203" t="str">
        <f>"OR1S1"</f>
        <v>OR1S1</v>
      </c>
      <c r="B11203" t="s">
        <v>5</v>
      </c>
    </row>
    <row r="11204" spans="1:2" x14ac:dyDescent="0.2">
      <c r="A11204" t="str">
        <f>"OR1S2"</f>
        <v>OR1S2</v>
      </c>
      <c r="B11204" t="s">
        <v>5</v>
      </c>
    </row>
    <row r="11205" spans="1:2" x14ac:dyDescent="0.2">
      <c r="A11205" t="str">
        <f>"OR2A1"</f>
        <v>OR2A1</v>
      </c>
      <c r="B11205" t="s">
        <v>2</v>
      </c>
    </row>
    <row r="11206" spans="1:2" x14ac:dyDescent="0.2">
      <c r="A11206" t="str">
        <f>"OR2A12"</f>
        <v>OR2A12</v>
      </c>
      <c r="B11206" t="s">
        <v>5</v>
      </c>
    </row>
    <row r="11207" spans="1:2" x14ac:dyDescent="0.2">
      <c r="A11207" t="str">
        <f>"OR2A14"</f>
        <v>OR2A14</v>
      </c>
      <c r="B11207" t="s">
        <v>4</v>
      </c>
    </row>
    <row r="11208" spans="1:2" x14ac:dyDescent="0.2">
      <c r="A11208" t="str">
        <f>"OR2A2"</f>
        <v>OR2A2</v>
      </c>
      <c r="B11208" t="s">
        <v>5</v>
      </c>
    </row>
    <row r="11209" spans="1:2" x14ac:dyDescent="0.2">
      <c r="A11209" t="str">
        <f>"OR2A25"</f>
        <v>OR2A25</v>
      </c>
      <c r="B11209" t="s">
        <v>5</v>
      </c>
    </row>
    <row r="11210" spans="1:2" x14ac:dyDescent="0.2">
      <c r="A11210" t="str">
        <f>"OR2A4"</f>
        <v>OR2A4</v>
      </c>
      <c r="B11210" t="s">
        <v>5</v>
      </c>
    </row>
    <row r="11211" spans="1:2" x14ac:dyDescent="0.2">
      <c r="A11211" t="str">
        <f>"OR2A42"</f>
        <v>OR2A42</v>
      </c>
      <c r="B11211" t="s">
        <v>2</v>
      </c>
    </row>
    <row r="11212" spans="1:2" x14ac:dyDescent="0.2">
      <c r="A11212" t="str">
        <f>"OR2A5"</f>
        <v>OR2A5</v>
      </c>
      <c r="B11212" t="s">
        <v>5</v>
      </c>
    </row>
    <row r="11213" spans="1:2" x14ac:dyDescent="0.2">
      <c r="A11213" t="str">
        <f>"OR2A7"</f>
        <v>OR2A7</v>
      </c>
      <c r="B11213" t="s">
        <v>5</v>
      </c>
    </row>
    <row r="11214" spans="1:2" x14ac:dyDescent="0.2">
      <c r="A11214" t="str">
        <f>"OR2AE1"</f>
        <v>OR2AE1</v>
      </c>
      <c r="B11214" t="s">
        <v>5</v>
      </c>
    </row>
    <row r="11215" spans="1:2" x14ac:dyDescent="0.2">
      <c r="A11215" t="str">
        <f>"OR2AG1"</f>
        <v>OR2AG1</v>
      </c>
      <c r="B11215" t="s">
        <v>5</v>
      </c>
    </row>
    <row r="11216" spans="1:2" x14ac:dyDescent="0.2">
      <c r="A11216" t="str">
        <f>"OR2AG2"</f>
        <v>OR2AG2</v>
      </c>
      <c r="B11216" t="s">
        <v>5</v>
      </c>
    </row>
    <row r="11217" spans="1:2" x14ac:dyDescent="0.2">
      <c r="A11217" t="str">
        <f>"OR2AK2"</f>
        <v>OR2AK2</v>
      </c>
      <c r="B11217" t="s">
        <v>5</v>
      </c>
    </row>
    <row r="11218" spans="1:2" x14ac:dyDescent="0.2">
      <c r="A11218" t="str">
        <f>"OR2AP1"</f>
        <v>OR2AP1</v>
      </c>
      <c r="B11218" t="s">
        <v>5</v>
      </c>
    </row>
    <row r="11219" spans="1:2" x14ac:dyDescent="0.2">
      <c r="A11219" t="str">
        <f>"OR2AT4"</f>
        <v>OR2AT4</v>
      </c>
      <c r="B11219" t="s">
        <v>5</v>
      </c>
    </row>
    <row r="11220" spans="1:2" x14ac:dyDescent="0.2">
      <c r="A11220" t="str">
        <f>"OR2B11"</f>
        <v>OR2B11</v>
      </c>
      <c r="B11220" t="s">
        <v>5</v>
      </c>
    </row>
    <row r="11221" spans="1:2" x14ac:dyDescent="0.2">
      <c r="A11221" t="str">
        <f>"OR2B2"</f>
        <v>OR2B2</v>
      </c>
      <c r="B11221" t="s">
        <v>5</v>
      </c>
    </row>
    <row r="11222" spans="1:2" x14ac:dyDescent="0.2">
      <c r="A11222" t="str">
        <f>"OR2B3"</f>
        <v>OR2B3</v>
      </c>
      <c r="B11222" t="s">
        <v>5</v>
      </c>
    </row>
    <row r="11223" spans="1:2" x14ac:dyDescent="0.2">
      <c r="A11223" t="str">
        <f>"OR2B6"</f>
        <v>OR2B6</v>
      </c>
      <c r="B11223" t="s">
        <v>5</v>
      </c>
    </row>
    <row r="11224" spans="1:2" x14ac:dyDescent="0.2">
      <c r="A11224" t="str">
        <f>"OR2C1"</f>
        <v>OR2C1</v>
      </c>
      <c r="B11224" t="s">
        <v>5</v>
      </c>
    </row>
    <row r="11225" spans="1:2" x14ac:dyDescent="0.2">
      <c r="A11225" t="str">
        <f>"OR2C3"</f>
        <v>OR2C3</v>
      </c>
      <c r="B11225" t="s">
        <v>5</v>
      </c>
    </row>
    <row r="11226" spans="1:2" x14ac:dyDescent="0.2">
      <c r="A11226" t="str">
        <f>"OR2D2"</f>
        <v>OR2D2</v>
      </c>
      <c r="B11226" t="s">
        <v>5</v>
      </c>
    </row>
    <row r="11227" spans="1:2" x14ac:dyDescent="0.2">
      <c r="A11227" t="str">
        <f>"OR2D3"</f>
        <v>OR2D3</v>
      </c>
      <c r="B11227" t="s">
        <v>5</v>
      </c>
    </row>
    <row r="11228" spans="1:2" x14ac:dyDescent="0.2">
      <c r="A11228" t="str">
        <f>"OR2F1"</f>
        <v>OR2F1</v>
      </c>
      <c r="B11228" t="s">
        <v>5</v>
      </c>
    </row>
    <row r="11229" spans="1:2" x14ac:dyDescent="0.2">
      <c r="A11229" t="str">
        <f>"OR2F2"</f>
        <v>OR2F2</v>
      </c>
      <c r="B11229" t="s">
        <v>5</v>
      </c>
    </row>
    <row r="11230" spans="1:2" x14ac:dyDescent="0.2">
      <c r="A11230" t="str">
        <f>"OR2G2"</f>
        <v>OR2G2</v>
      </c>
      <c r="B11230" t="s">
        <v>5</v>
      </c>
    </row>
    <row r="11231" spans="1:2" x14ac:dyDescent="0.2">
      <c r="A11231" t="str">
        <f>"OR2G3"</f>
        <v>OR2G3</v>
      </c>
      <c r="B11231" t="s">
        <v>5</v>
      </c>
    </row>
    <row r="11232" spans="1:2" x14ac:dyDescent="0.2">
      <c r="A11232" t="str">
        <f>"OR2G6"</f>
        <v>OR2G6</v>
      </c>
      <c r="B11232" t="s">
        <v>5</v>
      </c>
    </row>
    <row r="11233" spans="1:2" x14ac:dyDescent="0.2">
      <c r="A11233" t="str">
        <f>"OR2H1"</f>
        <v>OR2H1</v>
      </c>
      <c r="B11233" t="s">
        <v>5</v>
      </c>
    </row>
    <row r="11234" spans="1:2" x14ac:dyDescent="0.2">
      <c r="A11234" t="str">
        <f>"OR2H2"</f>
        <v>OR2H2</v>
      </c>
      <c r="B11234" t="s">
        <v>5</v>
      </c>
    </row>
    <row r="11235" spans="1:2" x14ac:dyDescent="0.2">
      <c r="A11235" t="str">
        <f>"OR2J2"</f>
        <v>OR2J2</v>
      </c>
      <c r="B11235" t="s">
        <v>5</v>
      </c>
    </row>
    <row r="11236" spans="1:2" x14ac:dyDescent="0.2">
      <c r="A11236" t="str">
        <f>"OR2J3"</f>
        <v>OR2J3</v>
      </c>
      <c r="B11236" t="s">
        <v>5</v>
      </c>
    </row>
    <row r="11237" spans="1:2" x14ac:dyDescent="0.2">
      <c r="A11237" t="str">
        <f>"OR2K2"</f>
        <v>OR2K2</v>
      </c>
      <c r="B11237" t="s">
        <v>4</v>
      </c>
    </row>
    <row r="11238" spans="1:2" x14ac:dyDescent="0.2">
      <c r="A11238" t="str">
        <f>"OR2L13"</f>
        <v>OR2L13</v>
      </c>
      <c r="B11238" t="s">
        <v>5</v>
      </c>
    </row>
    <row r="11239" spans="1:2" x14ac:dyDescent="0.2">
      <c r="A11239" t="str">
        <f>"OR2L2"</f>
        <v>OR2L2</v>
      </c>
      <c r="B11239" t="s">
        <v>5</v>
      </c>
    </row>
    <row r="11240" spans="1:2" x14ac:dyDescent="0.2">
      <c r="A11240" t="str">
        <f>"OR2L3"</f>
        <v>OR2L3</v>
      </c>
      <c r="B11240" t="s">
        <v>5</v>
      </c>
    </row>
    <row r="11241" spans="1:2" x14ac:dyDescent="0.2">
      <c r="A11241" t="str">
        <f>"OR2L5"</f>
        <v>OR2L5</v>
      </c>
      <c r="B11241" t="s">
        <v>5</v>
      </c>
    </row>
    <row r="11242" spans="1:2" x14ac:dyDescent="0.2">
      <c r="A11242" t="str">
        <f>"OR2L8"</f>
        <v>OR2L8</v>
      </c>
      <c r="B11242" t="s">
        <v>5</v>
      </c>
    </row>
    <row r="11243" spans="1:2" x14ac:dyDescent="0.2">
      <c r="A11243" t="str">
        <f>"OR2M2"</f>
        <v>OR2M2</v>
      </c>
      <c r="B11243" t="s">
        <v>5</v>
      </c>
    </row>
    <row r="11244" spans="1:2" x14ac:dyDescent="0.2">
      <c r="A11244" t="str">
        <f>"OR2M3"</f>
        <v>OR2M3</v>
      </c>
      <c r="B11244" t="s">
        <v>5</v>
      </c>
    </row>
    <row r="11245" spans="1:2" x14ac:dyDescent="0.2">
      <c r="A11245" t="str">
        <f>"OR2M4"</f>
        <v>OR2M4</v>
      </c>
      <c r="B11245" t="s">
        <v>5</v>
      </c>
    </row>
    <row r="11246" spans="1:2" x14ac:dyDescent="0.2">
      <c r="A11246" t="str">
        <f>"OR2M5"</f>
        <v>OR2M5</v>
      </c>
      <c r="B11246" t="s">
        <v>5</v>
      </c>
    </row>
    <row r="11247" spans="1:2" x14ac:dyDescent="0.2">
      <c r="A11247" t="str">
        <f>"OR2M7"</f>
        <v>OR2M7</v>
      </c>
      <c r="B11247" t="s">
        <v>5</v>
      </c>
    </row>
    <row r="11248" spans="1:2" x14ac:dyDescent="0.2">
      <c r="A11248" t="str">
        <f>"OR2S2"</f>
        <v>OR2S2</v>
      </c>
      <c r="B11248" t="s">
        <v>5</v>
      </c>
    </row>
    <row r="11249" spans="1:2" x14ac:dyDescent="0.2">
      <c r="A11249" t="str">
        <f>"OR2T1"</f>
        <v>OR2T1</v>
      </c>
      <c r="B11249" t="s">
        <v>5</v>
      </c>
    </row>
    <row r="11250" spans="1:2" x14ac:dyDescent="0.2">
      <c r="A11250" t="str">
        <f>"OR2T10"</f>
        <v>OR2T10</v>
      </c>
      <c r="B11250" t="s">
        <v>5</v>
      </c>
    </row>
    <row r="11251" spans="1:2" x14ac:dyDescent="0.2">
      <c r="A11251" t="str">
        <f>"OR2T11"</f>
        <v>OR2T11</v>
      </c>
      <c r="B11251" t="s">
        <v>5</v>
      </c>
    </row>
    <row r="11252" spans="1:2" x14ac:dyDescent="0.2">
      <c r="A11252" t="str">
        <f>"OR2T12"</f>
        <v>OR2T12</v>
      </c>
      <c r="B11252" t="s">
        <v>5</v>
      </c>
    </row>
    <row r="11253" spans="1:2" x14ac:dyDescent="0.2">
      <c r="A11253" t="str">
        <f>"OR2T2"</f>
        <v>OR2T2</v>
      </c>
      <c r="B11253" t="s">
        <v>5</v>
      </c>
    </row>
    <row r="11254" spans="1:2" x14ac:dyDescent="0.2">
      <c r="A11254" t="str">
        <f>"OR2T27"</f>
        <v>OR2T27</v>
      </c>
      <c r="B11254" t="s">
        <v>5</v>
      </c>
    </row>
    <row r="11255" spans="1:2" x14ac:dyDescent="0.2">
      <c r="A11255" t="str">
        <f>"OR2T29"</f>
        <v>OR2T29</v>
      </c>
      <c r="B11255" t="s">
        <v>5</v>
      </c>
    </row>
    <row r="11256" spans="1:2" x14ac:dyDescent="0.2">
      <c r="A11256" t="str">
        <f>"OR2T3"</f>
        <v>OR2T3</v>
      </c>
      <c r="B11256" t="s">
        <v>5</v>
      </c>
    </row>
    <row r="11257" spans="1:2" x14ac:dyDescent="0.2">
      <c r="A11257" t="str">
        <f>"OR2T33"</f>
        <v>OR2T33</v>
      </c>
      <c r="B11257" t="s">
        <v>5</v>
      </c>
    </row>
    <row r="11258" spans="1:2" x14ac:dyDescent="0.2">
      <c r="A11258" t="str">
        <f>"OR2T34"</f>
        <v>OR2T34</v>
      </c>
      <c r="B11258" t="s">
        <v>4</v>
      </c>
    </row>
    <row r="11259" spans="1:2" x14ac:dyDescent="0.2">
      <c r="A11259" t="str">
        <f>"OR2T35"</f>
        <v>OR2T35</v>
      </c>
      <c r="B11259" t="s">
        <v>4</v>
      </c>
    </row>
    <row r="11260" spans="1:2" x14ac:dyDescent="0.2">
      <c r="A11260" t="str">
        <f>"OR2T4"</f>
        <v>OR2T4</v>
      </c>
      <c r="B11260" t="s">
        <v>5</v>
      </c>
    </row>
    <row r="11261" spans="1:2" x14ac:dyDescent="0.2">
      <c r="A11261" t="str">
        <f>"OR2T5"</f>
        <v>OR2T5</v>
      </c>
      <c r="B11261" t="s">
        <v>5</v>
      </c>
    </row>
    <row r="11262" spans="1:2" x14ac:dyDescent="0.2">
      <c r="A11262" t="str">
        <f>"OR2T6"</f>
        <v>OR2T6</v>
      </c>
      <c r="B11262" t="s">
        <v>5</v>
      </c>
    </row>
    <row r="11263" spans="1:2" x14ac:dyDescent="0.2">
      <c r="A11263" t="str">
        <f>"OR2T8"</f>
        <v>OR2T8</v>
      </c>
      <c r="B11263" t="s">
        <v>5</v>
      </c>
    </row>
    <row r="11264" spans="1:2" x14ac:dyDescent="0.2">
      <c r="A11264" t="str">
        <f>"OR2V1"</f>
        <v>OR2V1</v>
      </c>
      <c r="B11264" t="s">
        <v>5</v>
      </c>
    </row>
    <row r="11265" spans="1:2" x14ac:dyDescent="0.2">
      <c r="A11265" t="str">
        <f>"OR2V2"</f>
        <v>OR2V2</v>
      </c>
      <c r="B11265" t="s">
        <v>5</v>
      </c>
    </row>
    <row r="11266" spans="1:2" x14ac:dyDescent="0.2">
      <c r="A11266" t="str">
        <f>"OR2W1"</f>
        <v>OR2W1</v>
      </c>
      <c r="B11266" t="s">
        <v>5</v>
      </c>
    </row>
    <row r="11267" spans="1:2" x14ac:dyDescent="0.2">
      <c r="A11267" t="str">
        <f>"OR2W3"</f>
        <v>OR2W3</v>
      </c>
      <c r="B11267" t="s">
        <v>5</v>
      </c>
    </row>
    <row r="11268" spans="1:2" x14ac:dyDescent="0.2">
      <c r="A11268" t="str">
        <f>"OR2Y1"</f>
        <v>OR2Y1</v>
      </c>
      <c r="B11268" t="s">
        <v>5</v>
      </c>
    </row>
    <row r="11269" spans="1:2" x14ac:dyDescent="0.2">
      <c r="A11269" t="str">
        <f>"OR2Z1"</f>
        <v>OR2Z1</v>
      </c>
      <c r="B11269" t="s">
        <v>5</v>
      </c>
    </row>
    <row r="11270" spans="1:2" x14ac:dyDescent="0.2">
      <c r="A11270" t="str">
        <f>"OR3A1"</f>
        <v>OR3A1</v>
      </c>
      <c r="B11270" t="s">
        <v>5</v>
      </c>
    </row>
    <row r="11271" spans="1:2" x14ac:dyDescent="0.2">
      <c r="A11271" t="str">
        <f>"OR3A2"</f>
        <v>OR3A2</v>
      </c>
      <c r="B11271" t="s">
        <v>5</v>
      </c>
    </row>
    <row r="11272" spans="1:2" x14ac:dyDescent="0.2">
      <c r="A11272" t="str">
        <f>"OR3A3"</f>
        <v>OR3A3</v>
      </c>
      <c r="B11272" t="s">
        <v>5</v>
      </c>
    </row>
    <row r="11273" spans="1:2" x14ac:dyDescent="0.2">
      <c r="A11273" t="str">
        <f>"OR4A15"</f>
        <v>OR4A15</v>
      </c>
      <c r="B11273" t="s">
        <v>5</v>
      </c>
    </row>
    <row r="11274" spans="1:2" x14ac:dyDescent="0.2">
      <c r="A11274" t="str">
        <f>"OR4A16"</f>
        <v>OR4A16</v>
      </c>
      <c r="B11274" t="s">
        <v>5</v>
      </c>
    </row>
    <row r="11275" spans="1:2" x14ac:dyDescent="0.2">
      <c r="A11275" t="str">
        <f>"OR4A47"</f>
        <v>OR4A47</v>
      </c>
      <c r="B11275" t="s">
        <v>5</v>
      </c>
    </row>
    <row r="11276" spans="1:2" x14ac:dyDescent="0.2">
      <c r="A11276" t="str">
        <f>"OR4A5"</f>
        <v>OR4A5</v>
      </c>
      <c r="B11276" t="s">
        <v>5</v>
      </c>
    </row>
    <row r="11277" spans="1:2" x14ac:dyDescent="0.2">
      <c r="A11277" t="str">
        <f>"OR4B1"</f>
        <v>OR4B1</v>
      </c>
      <c r="B11277" t="s">
        <v>5</v>
      </c>
    </row>
    <row r="11278" spans="1:2" x14ac:dyDescent="0.2">
      <c r="A11278" t="str">
        <f>"OR4C11"</f>
        <v>OR4C11</v>
      </c>
      <c r="B11278" t="s">
        <v>5</v>
      </c>
    </row>
    <row r="11279" spans="1:2" x14ac:dyDescent="0.2">
      <c r="A11279" t="str">
        <f>"OR4C12"</f>
        <v>OR4C12</v>
      </c>
      <c r="B11279" t="s">
        <v>5</v>
      </c>
    </row>
    <row r="11280" spans="1:2" x14ac:dyDescent="0.2">
      <c r="A11280" t="str">
        <f>"OR4C13"</f>
        <v>OR4C13</v>
      </c>
      <c r="B11280" t="s">
        <v>4</v>
      </c>
    </row>
    <row r="11281" spans="1:2" x14ac:dyDescent="0.2">
      <c r="A11281" t="str">
        <f>"OR4C15"</f>
        <v>OR4C15</v>
      </c>
      <c r="B11281" t="s">
        <v>5</v>
      </c>
    </row>
    <row r="11282" spans="1:2" x14ac:dyDescent="0.2">
      <c r="A11282" t="str">
        <f>"OR4C16"</f>
        <v>OR4C16</v>
      </c>
      <c r="B11282" t="s">
        <v>5</v>
      </c>
    </row>
    <row r="11283" spans="1:2" x14ac:dyDescent="0.2">
      <c r="A11283" t="str">
        <f>"OR4C3"</f>
        <v>OR4C3</v>
      </c>
      <c r="B11283" t="s">
        <v>5</v>
      </c>
    </row>
    <row r="11284" spans="1:2" x14ac:dyDescent="0.2">
      <c r="A11284" t="str">
        <f>"OR4C45"</f>
        <v>OR4C45</v>
      </c>
      <c r="B11284" t="s">
        <v>5</v>
      </c>
    </row>
    <row r="11285" spans="1:2" x14ac:dyDescent="0.2">
      <c r="A11285" t="str">
        <f>"OR4C46"</f>
        <v>OR4C46</v>
      </c>
      <c r="B11285" t="s">
        <v>5</v>
      </c>
    </row>
    <row r="11286" spans="1:2" x14ac:dyDescent="0.2">
      <c r="A11286" t="str">
        <f>"OR4C6"</f>
        <v>OR4C6</v>
      </c>
      <c r="B11286" t="s">
        <v>5</v>
      </c>
    </row>
    <row r="11287" spans="1:2" x14ac:dyDescent="0.2">
      <c r="A11287" t="str">
        <f>"OR4D1"</f>
        <v>OR4D1</v>
      </c>
      <c r="B11287" t="s">
        <v>5</v>
      </c>
    </row>
    <row r="11288" spans="1:2" x14ac:dyDescent="0.2">
      <c r="A11288" t="str">
        <f>"OR4D10"</f>
        <v>OR4D10</v>
      </c>
      <c r="B11288" t="s">
        <v>5</v>
      </c>
    </row>
    <row r="11289" spans="1:2" x14ac:dyDescent="0.2">
      <c r="A11289" t="str">
        <f>"OR4D11"</f>
        <v>OR4D11</v>
      </c>
      <c r="B11289" t="s">
        <v>5</v>
      </c>
    </row>
    <row r="11290" spans="1:2" x14ac:dyDescent="0.2">
      <c r="A11290" t="str">
        <f>"OR4D2"</f>
        <v>OR4D2</v>
      </c>
      <c r="B11290" t="s">
        <v>5</v>
      </c>
    </row>
    <row r="11291" spans="1:2" x14ac:dyDescent="0.2">
      <c r="A11291" t="str">
        <f>"OR4D5"</f>
        <v>OR4D5</v>
      </c>
      <c r="B11291" t="s">
        <v>5</v>
      </c>
    </row>
    <row r="11292" spans="1:2" x14ac:dyDescent="0.2">
      <c r="A11292" t="str">
        <f>"OR4D6"</f>
        <v>OR4D6</v>
      </c>
      <c r="B11292" t="s">
        <v>5</v>
      </c>
    </row>
    <row r="11293" spans="1:2" x14ac:dyDescent="0.2">
      <c r="A11293" t="str">
        <f>"OR4D9"</f>
        <v>OR4D9</v>
      </c>
      <c r="B11293" t="s">
        <v>5</v>
      </c>
    </row>
    <row r="11294" spans="1:2" x14ac:dyDescent="0.2">
      <c r="A11294" t="str">
        <f>"OR4E2"</f>
        <v>OR4E2</v>
      </c>
      <c r="B11294" t="s">
        <v>5</v>
      </c>
    </row>
    <row r="11295" spans="1:2" x14ac:dyDescent="0.2">
      <c r="A11295" t="str">
        <f>"OR4F15"</f>
        <v>OR4F15</v>
      </c>
      <c r="B11295" t="s">
        <v>4</v>
      </c>
    </row>
    <row r="11296" spans="1:2" x14ac:dyDescent="0.2">
      <c r="A11296" t="str">
        <f>"OR4F17"</f>
        <v>OR4F17</v>
      </c>
      <c r="B11296" t="s">
        <v>5</v>
      </c>
    </row>
    <row r="11297" spans="1:2" x14ac:dyDescent="0.2">
      <c r="A11297" t="str">
        <f>"OR4F4"</f>
        <v>OR4F4</v>
      </c>
      <c r="B11297" t="s">
        <v>5</v>
      </c>
    </row>
    <row r="11298" spans="1:2" x14ac:dyDescent="0.2">
      <c r="A11298" t="str">
        <f>"OR4F5"</f>
        <v>OR4F5</v>
      </c>
      <c r="B11298" t="s">
        <v>5</v>
      </c>
    </row>
    <row r="11299" spans="1:2" x14ac:dyDescent="0.2">
      <c r="A11299" t="str">
        <f>"OR4F6"</f>
        <v>OR4F6</v>
      </c>
      <c r="B11299" t="s">
        <v>5</v>
      </c>
    </row>
    <row r="11300" spans="1:2" x14ac:dyDescent="0.2">
      <c r="A11300" t="str">
        <f>"OR4K1"</f>
        <v>OR4K1</v>
      </c>
      <c r="B11300" t="s">
        <v>5</v>
      </c>
    </row>
    <row r="11301" spans="1:2" x14ac:dyDescent="0.2">
      <c r="A11301" t="str">
        <f>"OR4K13"</f>
        <v>OR4K13</v>
      </c>
      <c r="B11301" t="s">
        <v>5</v>
      </c>
    </row>
    <row r="11302" spans="1:2" x14ac:dyDescent="0.2">
      <c r="A11302" t="str">
        <f>"OR4K14"</f>
        <v>OR4K14</v>
      </c>
      <c r="B11302" t="s">
        <v>5</v>
      </c>
    </row>
    <row r="11303" spans="1:2" x14ac:dyDescent="0.2">
      <c r="A11303" t="str">
        <f>"OR4K15"</f>
        <v>OR4K15</v>
      </c>
      <c r="B11303" t="s">
        <v>5</v>
      </c>
    </row>
    <row r="11304" spans="1:2" x14ac:dyDescent="0.2">
      <c r="A11304" t="str">
        <f>"OR4K17"</f>
        <v>OR4K17</v>
      </c>
      <c r="B11304" t="s">
        <v>5</v>
      </c>
    </row>
    <row r="11305" spans="1:2" x14ac:dyDescent="0.2">
      <c r="A11305" t="str">
        <f>"OR4K2"</f>
        <v>OR4K2</v>
      </c>
      <c r="B11305" t="s">
        <v>5</v>
      </c>
    </row>
    <row r="11306" spans="1:2" x14ac:dyDescent="0.2">
      <c r="A11306" t="str">
        <f>"OR4K5"</f>
        <v>OR4K5</v>
      </c>
      <c r="B11306" t="s">
        <v>5</v>
      </c>
    </row>
    <row r="11307" spans="1:2" x14ac:dyDescent="0.2">
      <c r="A11307" t="str">
        <f>"OR4L1"</f>
        <v>OR4L1</v>
      </c>
      <c r="B11307" t="s">
        <v>5</v>
      </c>
    </row>
    <row r="11308" spans="1:2" x14ac:dyDescent="0.2">
      <c r="A11308" t="str">
        <f>"OR4M1"</f>
        <v>OR4M1</v>
      </c>
      <c r="B11308" t="s">
        <v>5</v>
      </c>
    </row>
    <row r="11309" spans="1:2" x14ac:dyDescent="0.2">
      <c r="A11309" t="str">
        <f>"OR4M2"</f>
        <v>OR4M2</v>
      </c>
      <c r="B11309" t="s">
        <v>5</v>
      </c>
    </row>
    <row r="11310" spans="1:2" x14ac:dyDescent="0.2">
      <c r="A11310" t="str">
        <f>"OR4N2"</f>
        <v>OR4N2</v>
      </c>
      <c r="B11310" t="s">
        <v>4</v>
      </c>
    </row>
    <row r="11311" spans="1:2" x14ac:dyDescent="0.2">
      <c r="A11311" t="str">
        <f>"OR4N4"</f>
        <v>OR4N4</v>
      </c>
      <c r="B11311" t="s">
        <v>5</v>
      </c>
    </row>
    <row r="11312" spans="1:2" x14ac:dyDescent="0.2">
      <c r="A11312" t="str">
        <f>"OR4N5"</f>
        <v>OR4N5</v>
      </c>
      <c r="B11312" t="s">
        <v>5</v>
      </c>
    </row>
    <row r="11313" spans="1:2" x14ac:dyDescent="0.2">
      <c r="A11313" t="str">
        <f>"OR4P4"</f>
        <v>OR4P4</v>
      </c>
      <c r="B11313" t="s">
        <v>5</v>
      </c>
    </row>
    <row r="11314" spans="1:2" x14ac:dyDescent="0.2">
      <c r="A11314" t="str">
        <f>"OR4Q3"</f>
        <v>OR4Q3</v>
      </c>
      <c r="B11314" t="s">
        <v>5</v>
      </c>
    </row>
    <row r="11315" spans="1:2" x14ac:dyDescent="0.2">
      <c r="A11315" t="str">
        <f>"OR4S1"</f>
        <v>OR4S1</v>
      </c>
      <c r="B11315" t="s">
        <v>5</v>
      </c>
    </row>
    <row r="11316" spans="1:2" x14ac:dyDescent="0.2">
      <c r="A11316" t="str">
        <f>"OR4S2"</f>
        <v>OR4S2</v>
      </c>
      <c r="B11316" t="s">
        <v>5</v>
      </c>
    </row>
    <row r="11317" spans="1:2" x14ac:dyDescent="0.2">
      <c r="A11317" t="str">
        <f>"OR4X1"</f>
        <v>OR4X1</v>
      </c>
      <c r="B11317" t="s">
        <v>5</v>
      </c>
    </row>
    <row r="11318" spans="1:2" x14ac:dyDescent="0.2">
      <c r="A11318" t="str">
        <f>"OR4X2"</f>
        <v>OR4X2</v>
      </c>
      <c r="B11318" t="s">
        <v>5</v>
      </c>
    </row>
    <row r="11319" spans="1:2" x14ac:dyDescent="0.2">
      <c r="A11319" t="str">
        <f>"OR51A2"</f>
        <v>OR51A2</v>
      </c>
      <c r="B11319" t="s">
        <v>5</v>
      </c>
    </row>
    <row r="11320" spans="1:2" x14ac:dyDescent="0.2">
      <c r="A11320" t="str">
        <f>"OR51A4"</f>
        <v>OR51A4</v>
      </c>
      <c r="B11320" t="s">
        <v>5</v>
      </c>
    </row>
    <row r="11321" spans="1:2" x14ac:dyDescent="0.2">
      <c r="A11321" t="str">
        <f>"OR51A7"</f>
        <v>OR51A7</v>
      </c>
      <c r="B11321" t="s">
        <v>5</v>
      </c>
    </row>
    <row r="11322" spans="1:2" x14ac:dyDescent="0.2">
      <c r="A11322" t="str">
        <f>"OR51B2"</f>
        <v>OR51B2</v>
      </c>
      <c r="B11322" t="s">
        <v>5</v>
      </c>
    </row>
    <row r="11323" spans="1:2" x14ac:dyDescent="0.2">
      <c r="A11323" t="str">
        <f>"OR51B4"</f>
        <v>OR51B4</v>
      </c>
      <c r="B11323" t="s">
        <v>5</v>
      </c>
    </row>
    <row r="11324" spans="1:2" x14ac:dyDescent="0.2">
      <c r="A11324" t="str">
        <f>"OR51B5"</f>
        <v>OR51B5</v>
      </c>
      <c r="B11324" t="s">
        <v>5</v>
      </c>
    </row>
    <row r="11325" spans="1:2" x14ac:dyDescent="0.2">
      <c r="A11325" t="str">
        <f>"OR51B6"</f>
        <v>OR51B6</v>
      </c>
      <c r="B11325" t="s">
        <v>5</v>
      </c>
    </row>
    <row r="11326" spans="1:2" x14ac:dyDescent="0.2">
      <c r="A11326" t="str">
        <f>"OR51D1"</f>
        <v>OR51D1</v>
      </c>
      <c r="B11326" t="s">
        <v>5</v>
      </c>
    </row>
    <row r="11327" spans="1:2" x14ac:dyDescent="0.2">
      <c r="A11327" t="str">
        <f>"OR51E1"</f>
        <v>OR51E1</v>
      </c>
      <c r="B11327" t="s">
        <v>5</v>
      </c>
    </row>
    <row r="11328" spans="1:2" x14ac:dyDescent="0.2">
      <c r="A11328" t="str">
        <f>"OR51E2"</f>
        <v>OR51E2</v>
      </c>
      <c r="B11328" t="s">
        <v>5</v>
      </c>
    </row>
    <row r="11329" spans="1:2" x14ac:dyDescent="0.2">
      <c r="A11329" t="str">
        <f>"OR51F1"</f>
        <v>OR51F1</v>
      </c>
      <c r="B11329" t="s">
        <v>5</v>
      </c>
    </row>
    <row r="11330" spans="1:2" x14ac:dyDescent="0.2">
      <c r="A11330" t="str">
        <f>"OR51F2"</f>
        <v>OR51F2</v>
      </c>
      <c r="B11330" t="s">
        <v>5</v>
      </c>
    </row>
    <row r="11331" spans="1:2" x14ac:dyDescent="0.2">
      <c r="A11331" t="str">
        <f>"OR51G1"</f>
        <v>OR51G1</v>
      </c>
      <c r="B11331" t="s">
        <v>5</v>
      </c>
    </row>
    <row r="11332" spans="1:2" x14ac:dyDescent="0.2">
      <c r="A11332" t="str">
        <f>"OR51G2"</f>
        <v>OR51G2</v>
      </c>
      <c r="B11332" t="s">
        <v>5</v>
      </c>
    </row>
    <row r="11333" spans="1:2" x14ac:dyDescent="0.2">
      <c r="A11333" t="str">
        <f>"OR51I1"</f>
        <v>OR51I1</v>
      </c>
      <c r="B11333" t="s">
        <v>5</v>
      </c>
    </row>
    <row r="11334" spans="1:2" x14ac:dyDescent="0.2">
      <c r="A11334" t="str">
        <f>"OR51I2"</f>
        <v>OR51I2</v>
      </c>
      <c r="B11334" t="s">
        <v>5</v>
      </c>
    </row>
    <row r="11335" spans="1:2" x14ac:dyDescent="0.2">
      <c r="A11335" t="str">
        <f>"OR51L1"</f>
        <v>OR51L1</v>
      </c>
      <c r="B11335" t="s">
        <v>5</v>
      </c>
    </row>
    <row r="11336" spans="1:2" x14ac:dyDescent="0.2">
      <c r="A11336" t="str">
        <f>"OR51M1"</f>
        <v>OR51M1</v>
      </c>
      <c r="B11336" t="s">
        <v>5</v>
      </c>
    </row>
    <row r="11337" spans="1:2" x14ac:dyDescent="0.2">
      <c r="A11337" t="str">
        <f>"OR51Q1"</f>
        <v>OR51Q1</v>
      </c>
      <c r="B11337" t="s">
        <v>5</v>
      </c>
    </row>
    <row r="11338" spans="1:2" x14ac:dyDescent="0.2">
      <c r="A11338" t="str">
        <f>"OR51S1"</f>
        <v>OR51S1</v>
      </c>
      <c r="B11338" t="s">
        <v>2</v>
      </c>
    </row>
    <row r="11339" spans="1:2" x14ac:dyDescent="0.2">
      <c r="A11339" t="str">
        <f>"OR51T1"</f>
        <v>OR51T1</v>
      </c>
      <c r="B11339" t="s">
        <v>5</v>
      </c>
    </row>
    <row r="11340" spans="1:2" x14ac:dyDescent="0.2">
      <c r="A11340" t="str">
        <f>"OR51V1"</f>
        <v>OR51V1</v>
      </c>
      <c r="B11340" t="s">
        <v>5</v>
      </c>
    </row>
    <row r="11341" spans="1:2" x14ac:dyDescent="0.2">
      <c r="A11341" t="str">
        <f>"OR52A1"</f>
        <v>OR52A1</v>
      </c>
      <c r="B11341" t="s">
        <v>5</v>
      </c>
    </row>
    <row r="11342" spans="1:2" x14ac:dyDescent="0.2">
      <c r="A11342" t="str">
        <f>"OR52A5"</f>
        <v>OR52A5</v>
      </c>
      <c r="B11342" t="s">
        <v>5</v>
      </c>
    </row>
    <row r="11343" spans="1:2" x14ac:dyDescent="0.2">
      <c r="A11343" t="str">
        <f>"OR52B2"</f>
        <v>OR52B2</v>
      </c>
      <c r="B11343" t="s">
        <v>5</v>
      </c>
    </row>
    <row r="11344" spans="1:2" x14ac:dyDescent="0.2">
      <c r="A11344" t="str">
        <f>"OR52B4"</f>
        <v>OR52B4</v>
      </c>
      <c r="B11344" t="s">
        <v>5</v>
      </c>
    </row>
    <row r="11345" spans="1:2" x14ac:dyDescent="0.2">
      <c r="A11345" t="str">
        <f>"OR52B6"</f>
        <v>OR52B6</v>
      </c>
      <c r="B11345" t="s">
        <v>5</v>
      </c>
    </row>
    <row r="11346" spans="1:2" x14ac:dyDescent="0.2">
      <c r="A11346" t="str">
        <f>"OR52D1"</f>
        <v>OR52D1</v>
      </c>
      <c r="B11346" t="s">
        <v>5</v>
      </c>
    </row>
    <row r="11347" spans="1:2" x14ac:dyDescent="0.2">
      <c r="A11347" t="str">
        <f>"OR52E2"</f>
        <v>OR52E2</v>
      </c>
      <c r="B11347" t="s">
        <v>5</v>
      </c>
    </row>
    <row r="11348" spans="1:2" x14ac:dyDescent="0.2">
      <c r="A11348" t="str">
        <f>"OR52E4"</f>
        <v>OR52E4</v>
      </c>
      <c r="B11348" t="s">
        <v>5</v>
      </c>
    </row>
    <row r="11349" spans="1:2" x14ac:dyDescent="0.2">
      <c r="A11349" t="str">
        <f>"OR52E6"</f>
        <v>OR52E6</v>
      </c>
      <c r="B11349" t="s">
        <v>5</v>
      </c>
    </row>
    <row r="11350" spans="1:2" x14ac:dyDescent="0.2">
      <c r="A11350" t="str">
        <f>"OR52E8"</f>
        <v>OR52E8</v>
      </c>
      <c r="B11350" t="s">
        <v>5</v>
      </c>
    </row>
    <row r="11351" spans="1:2" x14ac:dyDescent="0.2">
      <c r="A11351" t="str">
        <f>"OR52H1"</f>
        <v>OR52H1</v>
      </c>
      <c r="B11351" t="s">
        <v>5</v>
      </c>
    </row>
    <row r="11352" spans="1:2" x14ac:dyDescent="0.2">
      <c r="A11352" t="str">
        <f>"OR52I1"</f>
        <v>OR52I1</v>
      </c>
      <c r="B11352" t="s">
        <v>5</v>
      </c>
    </row>
    <row r="11353" spans="1:2" x14ac:dyDescent="0.2">
      <c r="A11353" t="str">
        <f>"OR52I2"</f>
        <v>OR52I2</v>
      </c>
      <c r="B11353" t="s">
        <v>5</v>
      </c>
    </row>
    <row r="11354" spans="1:2" x14ac:dyDescent="0.2">
      <c r="A11354" t="str">
        <f>"OR52J3"</f>
        <v>OR52J3</v>
      </c>
      <c r="B11354" t="s">
        <v>5</v>
      </c>
    </row>
    <row r="11355" spans="1:2" x14ac:dyDescent="0.2">
      <c r="A11355" t="str">
        <f>"OR52K1"</f>
        <v>OR52K1</v>
      </c>
      <c r="B11355" t="s">
        <v>5</v>
      </c>
    </row>
    <row r="11356" spans="1:2" x14ac:dyDescent="0.2">
      <c r="A11356" t="str">
        <f>"OR52K2"</f>
        <v>OR52K2</v>
      </c>
      <c r="B11356" t="s">
        <v>4</v>
      </c>
    </row>
    <row r="11357" spans="1:2" x14ac:dyDescent="0.2">
      <c r="A11357" t="str">
        <f>"OR52L1"</f>
        <v>OR52L1</v>
      </c>
      <c r="B11357" t="s">
        <v>5</v>
      </c>
    </row>
    <row r="11358" spans="1:2" x14ac:dyDescent="0.2">
      <c r="A11358" t="str">
        <f>"OR52M1"</f>
        <v>OR52M1</v>
      </c>
      <c r="B11358" t="s">
        <v>5</v>
      </c>
    </row>
    <row r="11359" spans="1:2" x14ac:dyDescent="0.2">
      <c r="A11359" t="str">
        <f>"OR52N1"</f>
        <v>OR52N1</v>
      </c>
      <c r="B11359" t="s">
        <v>5</v>
      </c>
    </row>
    <row r="11360" spans="1:2" x14ac:dyDescent="0.2">
      <c r="A11360" t="str">
        <f>"OR52N2"</f>
        <v>OR52N2</v>
      </c>
      <c r="B11360" t="s">
        <v>5</v>
      </c>
    </row>
    <row r="11361" spans="1:2" x14ac:dyDescent="0.2">
      <c r="A11361" t="str">
        <f>"OR52N4"</f>
        <v>OR52N4</v>
      </c>
      <c r="B11361" t="s">
        <v>5</v>
      </c>
    </row>
    <row r="11362" spans="1:2" x14ac:dyDescent="0.2">
      <c r="A11362" t="str">
        <f>"OR52N5"</f>
        <v>OR52N5</v>
      </c>
      <c r="B11362" t="s">
        <v>5</v>
      </c>
    </row>
    <row r="11363" spans="1:2" x14ac:dyDescent="0.2">
      <c r="A11363" t="str">
        <f>"OR52R1"</f>
        <v>OR52R1</v>
      </c>
      <c r="B11363" t="s">
        <v>5</v>
      </c>
    </row>
    <row r="11364" spans="1:2" x14ac:dyDescent="0.2">
      <c r="A11364" t="str">
        <f>"OR52W1"</f>
        <v>OR52W1</v>
      </c>
      <c r="B11364" t="s">
        <v>4</v>
      </c>
    </row>
    <row r="11365" spans="1:2" x14ac:dyDescent="0.2">
      <c r="A11365" t="str">
        <f>"OR56A1"</f>
        <v>OR56A1</v>
      </c>
      <c r="B11365" t="s">
        <v>5</v>
      </c>
    </row>
    <row r="11366" spans="1:2" x14ac:dyDescent="0.2">
      <c r="A11366" t="str">
        <f>"OR56A3"</f>
        <v>OR56A3</v>
      </c>
      <c r="B11366" t="s">
        <v>5</v>
      </c>
    </row>
    <row r="11367" spans="1:2" x14ac:dyDescent="0.2">
      <c r="A11367" t="str">
        <f>"OR56A4"</f>
        <v>OR56A4</v>
      </c>
      <c r="B11367" t="s">
        <v>5</v>
      </c>
    </row>
    <row r="11368" spans="1:2" x14ac:dyDescent="0.2">
      <c r="A11368" t="str">
        <f>"OR56A5"</f>
        <v>OR56A5</v>
      </c>
      <c r="B11368" t="s">
        <v>5</v>
      </c>
    </row>
    <row r="11369" spans="1:2" x14ac:dyDescent="0.2">
      <c r="A11369" t="str">
        <f>"OR56B1"</f>
        <v>OR56B1</v>
      </c>
      <c r="B11369" t="s">
        <v>5</v>
      </c>
    </row>
    <row r="11370" spans="1:2" x14ac:dyDescent="0.2">
      <c r="A11370" t="str">
        <f>"OR56B4"</f>
        <v>OR56B4</v>
      </c>
      <c r="B11370" t="s">
        <v>5</v>
      </c>
    </row>
    <row r="11371" spans="1:2" x14ac:dyDescent="0.2">
      <c r="A11371" t="str">
        <f>"OR5A1"</f>
        <v>OR5A1</v>
      </c>
      <c r="B11371" t="s">
        <v>5</v>
      </c>
    </row>
    <row r="11372" spans="1:2" x14ac:dyDescent="0.2">
      <c r="A11372" t="str">
        <f>"OR5A2"</f>
        <v>OR5A2</v>
      </c>
      <c r="B11372" t="s">
        <v>5</v>
      </c>
    </row>
    <row r="11373" spans="1:2" x14ac:dyDescent="0.2">
      <c r="A11373" t="str">
        <f>"OR5AC2"</f>
        <v>OR5AC2</v>
      </c>
      <c r="B11373" t="s">
        <v>5</v>
      </c>
    </row>
    <row r="11374" spans="1:2" x14ac:dyDescent="0.2">
      <c r="A11374" t="str">
        <f>"OR5AK2"</f>
        <v>OR5AK2</v>
      </c>
      <c r="B11374" t="s">
        <v>5</v>
      </c>
    </row>
    <row r="11375" spans="1:2" x14ac:dyDescent="0.2">
      <c r="A11375" t="str">
        <f>"OR5AN1"</f>
        <v>OR5AN1</v>
      </c>
      <c r="B11375" t="s">
        <v>5</v>
      </c>
    </row>
    <row r="11376" spans="1:2" x14ac:dyDescent="0.2">
      <c r="A11376" t="str">
        <f>"OR5AP2"</f>
        <v>OR5AP2</v>
      </c>
      <c r="B11376" t="s">
        <v>5</v>
      </c>
    </row>
    <row r="11377" spans="1:2" x14ac:dyDescent="0.2">
      <c r="A11377" t="str">
        <f>"OR5AR1"</f>
        <v>OR5AR1</v>
      </c>
      <c r="B11377" t="s">
        <v>5</v>
      </c>
    </row>
    <row r="11378" spans="1:2" x14ac:dyDescent="0.2">
      <c r="A11378" t="str">
        <f>"OR5AS1"</f>
        <v>OR5AS1</v>
      </c>
      <c r="B11378" t="s">
        <v>5</v>
      </c>
    </row>
    <row r="11379" spans="1:2" x14ac:dyDescent="0.2">
      <c r="A11379" t="str">
        <f>"OR5AU1"</f>
        <v>OR5AU1</v>
      </c>
      <c r="B11379" t="s">
        <v>5</v>
      </c>
    </row>
    <row r="11380" spans="1:2" x14ac:dyDescent="0.2">
      <c r="A11380" t="str">
        <f>"OR5B12"</f>
        <v>OR5B12</v>
      </c>
      <c r="B11380" t="s">
        <v>5</v>
      </c>
    </row>
    <row r="11381" spans="1:2" x14ac:dyDescent="0.2">
      <c r="A11381" t="str">
        <f>"OR5B17"</f>
        <v>OR5B17</v>
      </c>
      <c r="B11381" t="s">
        <v>5</v>
      </c>
    </row>
    <row r="11382" spans="1:2" x14ac:dyDescent="0.2">
      <c r="A11382" t="str">
        <f>"OR5B2"</f>
        <v>OR5B2</v>
      </c>
      <c r="B11382" t="s">
        <v>5</v>
      </c>
    </row>
    <row r="11383" spans="1:2" x14ac:dyDescent="0.2">
      <c r="A11383" t="str">
        <f>"OR5B21"</f>
        <v>OR5B21</v>
      </c>
      <c r="B11383" t="s">
        <v>5</v>
      </c>
    </row>
    <row r="11384" spans="1:2" x14ac:dyDescent="0.2">
      <c r="A11384" t="str">
        <f>"OR5B3"</f>
        <v>OR5B3</v>
      </c>
      <c r="B11384" t="s">
        <v>5</v>
      </c>
    </row>
    <row r="11385" spans="1:2" x14ac:dyDescent="0.2">
      <c r="A11385" t="str">
        <f>"OR5C1"</f>
        <v>OR5C1</v>
      </c>
      <c r="B11385" t="s">
        <v>5</v>
      </c>
    </row>
    <row r="11386" spans="1:2" x14ac:dyDescent="0.2">
      <c r="A11386" t="str">
        <f>"OR5D13"</f>
        <v>OR5D13</v>
      </c>
      <c r="B11386" t="s">
        <v>5</v>
      </c>
    </row>
    <row r="11387" spans="1:2" x14ac:dyDescent="0.2">
      <c r="A11387" t="str">
        <f>"OR5D14"</f>
        <v>OR5D14</v>
      </c>
      <c r="B11387" t="s">
        <v>5</v>
      </c>
    </row>
    <row r="11388" spans="1:2" x14ac:dyDescent="0.2">
      <c r="A11388" t="str">
        <f>"OR5D16"</f>
        <v>OR5D16</v>
      </c>
      <c r="B11388" t="s">
        <v>5</v>
      </c>
    </row>
    <row r="11389" spans="1:2" x14ac:dyDescent="0.2">
      <c r="A11389" t="str">
        <f>"OR5D18"</f>
        <v>OR5D18</v>
      </c>
      <c r="B11389" t="s">
        <v>5</v>
      </c>
    </row>
    <row r="11390" spans="1:2" x14ac:dyDescent="0.2">
      <c r="A11390" t="str">
        <f>"OR5F1"</f>
        <v>OR5F1</v>
      </c>
      <c r="B11390" t="s">
        <v>5</v>
      </c>
    </row>
    <row r="11391" spans="1:2" x14ac:dyDescent="0.2">
      <c r="A11391" t="str">
        <f>"OR5H2"</f>
        <v>OR5H2</v>
      </c>
      <c r="B11391" t="s">
        <v>5</v>
      </c>
    </row>
    <row r="11392" spans="1:2" x14ac:dyDescent="0.2">
      <c r="A11392" t="str">
        <f>"OR5H6"</f>
        <v>OR5H6</v>
      </c>
      <c r="B11392" t="s">
        <v>5</v>
      </c>
    </row>
    <row r="11393" spans="1:2" x14ac:dyDescent="0.2">
      <c r="A11393" t="str">
        <f>"OR5I1"</f>
        <v>OR5I1</v>
      </c>
      <c r="B11393" t="s">
        <v>5</v>
      </c>
    </row>
    <row r="11394" spans="1:2" x14ac:dyDescent="0.2">
      <c r="A11394" t="str">
        <f>"OR5J2"</f>
        <v>OR5J2</v>
      </c>
      <c r="B11394" t="s">
        <v>2</v>
      </c>
    </row>
    <row r="11395" spans="1:2" x14ac:dyDescent="0.2">
      <c r="A11395" t="str">
        <f>"OR5K1"</f>
        <v>OR5K1</v>
      </c>
      <c r="B11395" t="s">
        <v>5</v>
      </c>
    </row>
    <row r="11396" spans="1:2" x14ac:dyDescent="0.2">
      <c r="A11396" t="str">
        <f>"OR5K2"</f>
        <v>OR5K2</v>
      </c>
      <c r="B11396" t="s">
        <v>5</v>
      </c>
    </row>
    <row r="11397" spans="1:2" x14ac:dyDescent="0.2">
      <c r="A11397" t="str">
        <f>"OR5K3"</f>
        <v>OR5K3</v>
      </c>
      <c r="B11397" t="s">
        <v>5</v>
      </c>
    </row>
    <row r="11398" spans="1:2" x14ac:dyDescent="0.2">
      <c r="A11398" t="str">
        <f>"OR5K4"</f>
        <v>OR5K4</v>
      </c>
      <c r="B11398" t="s">
        <v>5</v>
      </c>
    </row>
    <row r="11399" spans="1:2" x14ac:dyDescent="0.2">
      <c r="A11399" t="str">
        <f>"OR5L1"</f>
        <v>OR5L1</v>
      </c>
      <c r="B11399" t="s">
        <v>5</v>
      </c>
    </row>
    <row r="11400" spans="1:2" x14ac:dyDescent="0.2">
      <c r="A11400" t="str">
        <f>"OR5L2"</f>
        <v>OR5L2</v>
      </c>
      <c r="B11400" t="s">
        <v>5</v>
      </c>
    </row>
    <row r="11401" spans="1:2" x14ac:dyDescent="0.2">
      <c r="A11401" t="str">
        <f>"OR5M1"</f>
        <v>OR5M1</v>
      </c>
      <c r="B11401" t="s">
        <v>5</v>
      </c>
    </row>
    <row r="11402" spans="1:2" x14ac:dyDescent="0.2">
      <c r="A11402" t="str">
        <f>"OR5M10"</f>
        <v>OR5M10</v>
      </c>
      <c r="B11402" t="s">
        <v>5</v>
      </c>
    </row>
    <row r="11403" spans="1:2" x14ac:dyDescent="0.2">
      <c r="A11403" t="str">
        <f>"OR5M11"</f>
        <v>OR5M11</v>
      </c>
      <c r="B11403" t="s">
        <v>5</v>
      </c>
    </row>
    <row r="11404" spans="1:2" x14ac:dyDescent="0.2">
      <c r="A11404" t="str">
        <f>"OR5M3"</f>
        <v>OR5M3</v>
      </c>
      <c r="B11404" t="s">
        <v>5</v>
      </c>
    </row>
    <row r="11405" spans="1:2" x14ac:dyDescent="0.2">
      <c r="A11405" t="str">
        <f>"OR5M8"</f>
        <v>OR5M8</v>
      </c>
      <c r="B11405" t="s">
        <v>5</v>
      </c>
    </row>
    <row r="11406" spans="1:2" x14ac:dyDescent="0.2">
      <c r="A11406" t="str">
        <f>"OR5M9"</f>
        <v>OR5M9</v>
      </c>
      <c r="B11406" t="s">
        <v>5</v>
      </c>
    </row>
    <row r="11407" spans="1:2" x14ac:dyDescent="0.2">
      <c r="A11407" t="str">
        <f>"OR5P2"</f>
        <v>OR5P2</v>
      </c>
      <c r="B11407" t="s">
        <v>5</v>
      </c>
    </row>
    <row r="11408" spans="1:2" x14ac:dyDescent="0.2">
      <c r="A11408" t="str">
        <f>"OR5P3"</f>
        <v>OR5P3</v>
      </c>
      <c r="B11408" t="s">
        <v>5</v>
      </c>
    </row>
    <row r="11409" spans="1:2" x14ac:dyDescent="0.2">
      <c r="A11409" t="str">
        <f>"OR5R1"</f>
        <v>OR5R1</v>
      </c>
      <c r="B11409" t="s">
        <v>5</v>
      </c>
    </row>
    <row r="11410" spans="1:2" x14ac:dyDescent="0.2">
      <c r="A11410" t="str">
        <f>"OR5T1"</f>
        <v>OR5T1</v>
      </c>
      <c r="B11410" t="s">
        <v>5</v>
      </c>
    </row>
    <row r="11411" spans="1:2" x14ac:dyDescent="0.2">
      <c r="A11411" t="str">
        <f>"OR5T2"</f>
        <v>OR5T2</v>
      </c>
      <c r="B11411" t="s">
        <v>5</v>
      </c>
    </row>
    <row r="11412" spans="1:2" x14ac:dyDescent="0.2">
      <c r="A11412" t="str">
        <f>"OR5T3"</f>
        <v>OR5T3</v>
      </c>
      <c r="B11412" t="s">
        <v>5</v>
      </c>
    </row>
    <row r="11413" spans="1:2" x14ac:dyDescent="0.2">
      <c r="A11413" t="str">
        <f>"OR5V1"</f>
        <v>OR5V1</v>
      </c>
      <c r="B11413" t="s">
        <v>5</v>
      </c>
    </row>
    <row r="11414" spans="1:2" x14ac:dyDescent="0.2">
      <c r="A11414" t="str">
        <f>"OR5W2"</f>
        <v>OR5W2</v>
      </c>
      <c r="B11414" t="s">
        <v>5</v>
      </c>
    </row>
    <row r="11415" spans="1:2" x14ac:dyDescent="0.2">
      <c r="A11415" t="str">
        <f>"OR6A2"</f>
        <v>OR6A2</v>
      </c>
      <c r="B11415" t="s">
        <v>5</v>
      </c>
    </row>
    <row r="11416" spans="1:2" x14ac:dyDescent="0.2">
      <c r="A11416" t="str">
        <f>"OR6B1"</f>
        <v>OR6B1</v>
      </c>
      <c r="B11416" t="s">
        <v>5</v>
      </c>
    </row>
    <row r="11417" spans="1:2" x14ac:dyDescent="0.2">
      <c r="A11417" t="str">
        <f>"OR6B2"</f>
        <v>OR6B2</v>
      </c>
      <c r="B11417" t="s">
        <v>5</v>
      </c>
    </row>
    <row r="11418" spans="1:2" x14ac:dyDescent="0.2">
      <c r="A11418" t="str">
        <f>"OR6B3"</f>
        <v>OR6B3</v>
      </c>
      <c r="B11418" t="s">
        <v>5</v>
      </c>
    </row>
    <row r="11419" spans="1:2" x14ac:dyDescent="0.2">
      <c r="A11419" t="str">
        <f>"OR6C1"</f>
        <v>OR6C1</v>
      </c>
      <c r="B11419" t="s">
        <v>5</v>
      </c>
    </row>
    <row r="11420" spans="1:2" x14ac:dyDescent="0.2">
      <c r="A11420" t="str">
        <f>"OR6C2"</f>
        <v>OR6C2</v>
      </c>
      <c r="B11420" t="s">
        <v>5</v>
      </c>
    </row>
    <row r="11421" spans="1:2" x14ac:dyDescent="0.2">
      <c r="A11421" t="str">
        <f>"OR6C3"</f>
        <v>OR6C3</v>
      </c>
      <c r="B11421" t="s">
        <v>5</v>
      </c>
    </row>
    <row r="11422" spans="1:2" x14ac:dyDescent="0.2">
      <c r="A11422" t="str">
        <f>"OR6C4"</f>
        <v>OR6C4</v>
      </c>
      <c r="B11422" t="s">
        <v>4</v>
      </c>
    </row>
    <row r="11423" spans="1:2" x14ac:dyDescent="0.2">
      <c r="A11423" t="str">
        <f>"OR6C6"</f>
        <v>OR6C6</v>
      </c>
      <c r="B11423" t="s">
        <v>5</v>
      </c>
    </row>
    <row r="11424" spans="1:2" x14ac:dyDescent="0.2">
      <c r="A11424" t="str">
        <f>"OR6C65"</f>
        <v>OR6C65</v>
      </c>
      <c r="B11424" t="s">
        <v>5</v>
      </c>
    </row>
    <row r="11425" spans="1:2" x14ac:dyDescent="0.2">
      <c r="A11425" t="str">
        <f>"OR6C68"</f>
        <v>OR6C68</v>
      </c>
      <c r="B11425" t="s">
        <v>5</v>
      </c>
    </row>
    <row r="11426" spans="1:2" x14ac:dyDescent="0.2">
      <c r="A11426" t="str">
        <f>"OR6C70"</f>
        <v>OR6C70</v>
      </c>
      <c r="B11426" t="s">
        <v>5</v>
      </c>
    </row>
    <row r="11427" spans="1:2" x14ac:dyDescent="0.2">
      <c r="A11427" t="str">
        <f>"OR6C74"</f>
        <v>OR6C74</v>
      </c>
      <c r="B11427" t="s">
        <v>5</v>
      </c>
    </row>
    <row r="11428" spans="1:2" x14ac:dyDescent="0.2">
      <c r="A11428" t="str">
        <f>"OR6C75"</f>
        <v>OR6C75</v>
      </c>
      <c r="B11428" t="s">
        <v>5</v>
      </c>
    </row>
    <row r="11429" spans="1:2" x14ac:dyDescent="0.2">
      <c r="A11429" t="str">
        <f>"OR6C76"</f>
        <v>OR6C76</v>
      </c>
      <c r="B11429" t="s">
        <v>5</v>
      </c>
    </row>
    <row r="11430" spans="1:2" x14ac:dyDescent="0.2">
      <c r="A11430" t="str">
        <f>"OR6F1"</f>
        <v>OR6F1</v>
      </c>
      <c r="B11430" t="s">
        <v>5</v>
      </c>
    </row>
    <row r="11431" spans="1:2" x14ac:dyDescent="0.2">
      <c r="A11431" t="str">
        <f>"OR6K2"</f>
        <v>OR6K2</v>
      </c>
      <c r="B11431" t="s">
        <v>5</v>
      </c>
    </row>
    <row r="11432" spans="1:2" x14ac:dyDescent="0.2">
      <c r="A11432" t="str">
        <f>"OR6K3"</f>
        <v>OR6K3</v>
      </c>
      <c r="B11432" t="s">
        <v>5</v>
      </c>
    </row>
    <row r="11433" spans="1:2" x14ac:dyDescent="0.2">
      <c r="A11433" t="str">
        <f>"OR6K6"</f>
        <v>OR6K6</v>
      </c>
      <c r="B11433" t="s">
        <v>5</v>
      </c>
    </row>
    <row r="11434" spans="1:2" x14ac:dyDescent="0.2">
      <c r="A11434" t="str">
        <f>"OR6M1"</f>
        <v>OR6M1</v>
      </c>
      <c r="B11434" t="s">
        <v>5</v>
      </c>
    </row>
    <row r="11435" spans="1:2" x14ac:dyDescent="0.2">
      <c r="A11435" t="str">
        <f>"OR6N1"</f>
        <v>OR6N1</v>
      </c>
      <c r="B11435" t="s">
        <v>5</v>
      </c>
    </row>
    <row r="11436" spans="1:2" x14ac:dyDescent="0.2">
      <c r="A11436" t="str">
        <f>"OR6N2"</f>
        <v>OR6N2</v>
      </c>
      <c r="B11436" t="s">
        <v>5</v>
      </c>
    </row>
    <row r="11437" spans="1:2" x14ac:dyDescent="0.2">
      <c r="A11437" t="str">
        <f>"OR6P1"</f>
        <v>OR6P1</v>
      </c>
      <c r="B11437" t="s">
        <v>5</v>
      </c>
    </row>
    <row r="11438" spans="1:2" x14ac:dyDescent="0.2">
      <c r="A11438" t="str">
        <f>"OR6Q1"</f>
        <v>OR6Q1</v>
      </c>
      <c r="B11438" t="s">
        <v>5</v>
      </c>
    </row>
    <row r="11439" spans="1:2" x14ac:dyDescent="0.2">
      <c r="A11439" t="str">
        <f>"OR6S1"</f>
        <v>OR6S1</v>
      </c>
      <c r="B11439" t="s">
        <v>5</v>
      </c>
    </row>
    <row r="11440" spans="1:2" x14ac:dyDescent="0.2">
      <c r="A11440" t="str">
        <f>"OR6T1"</f>
        <v>OR6T1</v>
      </c>
      <c r="B11440" t="s">
        <v>5</v>
      </c>
    </row>
    <row r="11441" spans="1:2" x14ac:dyDescent="0.2">
      <c r="A11441" t="str">
        <f>"OR6V1"</f>
        <v>OR6V1</v>
      </c>
      <c r="B11441" t="s">
        <v>5</v>
      </c>
    </row>
    <row r="11442" spans="1:2" x14ac:dyDescent="0.2">
      <c r="A11442" t="str">
        <f>"OR6X1"</f>
        <v>OR6X1</v>
      </c>
      <c r="B11442" t="s">
        <v>5</v>
      </c>
    </row>
    <row r="11443" spans="1:2" x14ac:dyDescent="0.2">
      <c r="A11443" t="str">
        <f>"OR6Y1"</f>
        <v>OR6Y1</v>
      </c>
      <c r="B11443" t="s">
        <v>5</v>
      </c>
    </row>
    <row r="11444" spans="1:2" x14ac:dyDescent="0.2">
      <c r="A11444" t="str">
        <f>"OR7A10"</f>
        <v>OR7A10</v>
      </c>
      <c r="B11444" t="s">
        <v>5</v>
      </c>
    </row>
    <row r="11445" spans="1:2" x14ac:dyDescent="0.2">
      <c r="A11445" t="str">
        <f>"OR7A17"</f>
        <v>OR7A17</v>
      </c>
      <c r="B11445" t="s">
        <v>5</v>
      </c>
    </row>
    <row r="11446" spans="1:2" x14ac:dyDescent="0.2">
      <c r="A11446" t="str">
        <f>"OR7A5"</f>
        <v>OR7A5</v>
      </c>
      <c r="B11446" t="s">
        <v>5</v>
      </c>
    </row>
    <row r="11447" spans="1:2" x14ac:dyDescent="0.2">
      <c r="A11447" t="str">
        <f>"OR7C1"</f>
        <v>OR7C1</v>
      </c>
      <c r="B11447" t="s">
        <v>5</v>
      </c>
    </row>
    <row r="11448" spans="1:2" x14ac:dyDescent="0.2">
      <c r="A11448" t="str">
        <f>"OR7C2"</f>
        <v>OR7C2</v>
      </c>
      <c r="B11448" t="s">
        <v>5</v>
      </c>
    </row>
    <row r="11449" spans="1:2" x14ac:dyDescent="0.2">
      <c r="A11449" t="str">
        <f>"OR7D2"</f>
        <v>OR7D2</v>
      </c>
      <c r="B11449" t="s">
        <v>5</v>
      </c>
    </row>
    <row r="11450" spans="1:2" x14ac:dyDescent="0.2">
      <c r="A11450" t="str">
        <f>"OR7D4"</f>
        <v>OR7D4</v>
      </c>
      <c r="B11450" t="s">
        <v>5</v>
      </c>
    </row>
    <row r="11451" spans="1:2" x14ac:dyDescent="0.2">
      <c r="A11451" t="str">
        <f>"OR7E24"</f>
        <v>OR7E24</v>
      </c>
      <c r="B11451" t="s">
        <v>5</v>
      </c>
    </row>
    <row r="11452" spans="1:2" x14ac:dyDescent="0.2">
      <c r="A11452" t="str">
        <f>"OR7G1"</f>
        <v>OR7G1</v>
      </c>
      <c r="B11452" t="s">
        <v>5</v>
      </c>
    </row>
    <row r="11453" spans="1:2" x14ac:dyDescent="0.2">
      <c r="A11453" t="str">
        <f>"OR7G2"</f>
        <v>OR7G2</v>
      </c>
      <c r="B11453" t="s">
        <v>5</v>
      </c>
    </row>
    <row r="11454" spans="1:2" x14ac:dyDescent="0.2">
      <c r="A11454" t="str">
        <f>"OR7G3"</f>
        <v>OR7G3</v>
      </c>
      <c r="B11454" t="s">
        <v>5</v>
      </c>
    </row>
    <row r="11455" spans="1:2" x14ac:dyDescent="0.2">
      <c r="A11455" t="str">
        <f>"OR8A1"</f>
        <v>OR8A1</v>
      </c>
      <c r="B11455" t="s">
        <v>5</v>
      </c>
    </row>
    <row r="11456" spans="1:2" x14ac:dyDescent="0.2">
      <c r="A11456" t="str">
        <f>"OR8B12"</f>
        <v>OR8B12</v>
      </c>
      <c r="B11456" t="s">
        <v>5</v>
      </c>
    </row>
    <row r="11457" spans="1:2" x14ac:dyDescent="0.2">
      <c r="A11457" t="str">
        <f>"OR8B2"</f>
        <v>OR8B2</v>
      </c>
      <c r="B11457" t="s">
        <v>5</v>
      </c>
    </row>
    <row r="11458" spans="1:2" x14ac:dyDescent="0.2">
      <c r="A11458" t="str">
        <f>"OR8B3"</f>
        <v>OR8B3</v>
      </c>
      <c r="B11458" t="s">
        <v>5</v>
      </c>
    </row>
    <row r="11459" spans="1:2" x14ac:dyDescent="0.2">
      <c r="A11459" t="str">
        <f>"OR8B4"</f>
        <v>OR8B4</v>
      </c>
      <c r="B11459" t="s">
        <v>5</v>
      </c>
    </row>
    <row r="11460" spans="1:2" x14ac:dyDescent="0.2">
      <c r="A11460" t="str">
        <f>"OR8B8"</f>
        <v>OR8B8</v>
      </c>
      <c r="B11460" t="s">
        <v>5</v>
      </c>
    </row>
    <row r="11461" spans="1:2" x14ac:dyDescent="0.2">
      <c r="A11461" t="str">
        <f>"OR8D1"</f>
        <v>OR8D1</v>
      </c>
      <c r="B11461" t="s">
        <v>5</v>
      </c>
    </row>
    <row r="11462" spans="1:2" x14ac:dyDescent="0.2">
      <c r="A11462" t="str">
        <f>"OR8D2"</f>
        <v>OR8D2</v>
      </c>
      <c r="B11462" t="s">
        <v>5</v>
      </c>
    </row>
    <row r="11463" spans="1:2" x14ac:dyDescent="0.2">
      <c r="A11463" t="str">
        <f>"OR8D4"</f>
        <v>OR8D4</v>
      </c>
      <c r="B11463" t="s">
        <v>5</v>
      </c>
    </row>
    <row r="11464" spans="1:2" x14ac:dyDescent="0.2">
      <c r="A11464" t="str">
        <f>"OR8G1"</f>
        <v>OR8G1</v>
      </c>
      <c r="B11464" t="s">
        <v>5</v>
      </c>
    </row>
    <row r="11465" spans="1:2" x14ac:dyDescent="0.2">
      <c r="A11465" t="str">
        <f>"OR8G2P"</f>
        <v>OR8G2P</v>
      </c>
      <c r="B11465" t="s">
        <v>5</v>
      </c>
    </row>
    <row r="11466" spans="1:2" x14ac:dyDescent="0.2">
      <c r="A11466" t="str">
        <f>"OR8G5"</f>
        <v>OR8G5</v>
      </c>
      <c r="B11466" t="s">
        <v>5</v>
      </c>
    </row>
    <row r="11467" spans="1:2" x14ac:dyDescent="0.2">
      <c r="A11467" t="str">
        <f>"OR8H1"</f>
        <v>OR8H1</v>
      </c>
      <c r="B11467" t="s">
        <v>5</v>
      </c>
    </row>
    <row r="11468" spans="1:2" x14ac:dyDescent="0.2">
      <c r="A11468" t="str">
        <f>"OR8H2"</f>
        <v>OR8H2</v>
      </c>
      <c r="B11468" t="s">
        <v>5</v>
      </c>
    </row>
    <row r="11469" spans="1:2" x14ac:dyDescent="0.2">
      <c r="A11469" t="str">
        <f>"OR8H3"</f>
        <v>OR8H3</v>
      </c>
      <c r="B11469" t="s">
        <v>5</v>
      </c>
    </row>
    <row r="11470" spans="1:2" x14ac:dyDescent="0.2">
      <c r="A11470" t="str">
        <f>"OR8I2"</f>
        <v>OR8I2</v>
      </c>
      <c r="B11470" t="s">
        <v>5</v>
      </c>
    </row>
    <row r="11471" spans="1:2" x14ac:dyDescent="0.2">
      <c r="A11471" t="str">
        <f>"OR8J1"</f>
        <v>OR8J1</v>
      </c>
      <c r="B11471" t="s">
        <v>5</v>
      </c>
    </row>
    <row r="11472" spans="1:2" x14ac:dyDescent="0.2">
      <c r="A11472" t="str">
        <f>"OR8J3"</f>
        <v>OR8J3</v>
      </c>
      <c r="B11472" t="s">
        <v>5</v>
      </c>
    </row>
    <row r="11473" spans="1:2" x14ac:dyDescent="0.2">
      <c r="A11473" t="str">
        <f>"OR8K1"</f>
        <v>OR8K1</v>
      </c>
      <c r="B11473" t="s">
        <v>5</v>
      </c>
    </row>
    <row r="11474" spans="1:2" x14ac:dyDescent="0.2">
      <c r="A11474" t="str">
        <f>"OR8K3"</f>
        <v>OR8K3</v>
      </c>
      <c r="B11474" t="s">
        <v>5</v>
      </c>
    </row>
    <row r="11475" spans="1:2" x14ac:dyDescent="0.2">
      <c r="A11475" t="str">
        <f>"OR8K5"</f>
        <v>OR8K5</v>
      </c>
      <c r="B11475" t="s">
        <v>4</v>
      </c>
    </row>
    <row r="11476" spans="1:2" x14ac:dyDescent="0.2">
      <c r="A11476" t="str">
        <f>"OR8S1"</f>
        <v>OR8S1</v>
      </c>
      <c r="B11476" t="s">
        <v>5</v>
      </c>
    </row>
    <row r="11477" spans="1:2" x14ac:dyDescent="0.2">
      <c r="A11477" t="str">
        <f>"OR8U1"</f>
        <v>OR8U1</v>
      </c>
      <c r="B11477" t="s">
        <v>5</v>
      </c>
    </row>
    <row r="11478" spans="1:2" x14ac:dyDescent="0.2">
      <c r="A11478" t="str">
        <f>"OR8U8"</f>
        <v>OR8U8</v>
      </c>
      <c r="B11478" t="s">
        <v>5</v>
      </c>
    </row>
    <row r="11479" spans="1:2" x14ac:dyDescent="0.2">
      <c r="A11479" t="str">
        <f>"OR9A2"</f>
        <v>OR9A2</v>
      </c>
      <c r="B11479" t="s">
        <v>5</v>
      </c>
    </row>
    <row r="11480" spans="1:2" x14ac:dyDescent="0.2">
      <c r="A11480" t="str">
        <f>"OR9A4"</f>
        <v>OR9A4</v>
      </c>
      <c r="B11480" t="s">
        <v>5</v>
      </c>
    </row>
    <row r="11481" spans="1:2" x14ac:dyDescent="0.2">
      <c r="A11481" t="str">
        <f>"OR9G1"</f>
        <v>OR9G1</v>
      </c>
      <c r="B11481" t="s">
        <v>5</v>
      </c>
    </row>
    <row r="11482" spans="1:2" x14ac:dyDescent="0.2">
      <c r="A11482" t="str">
        <f>"OR9G4"</f>
        <v>OR9G4</v>
      </c>
      <c r="B11482" t="s">
        <v>5</v>
      </c>
    </row>
    <row r="11483" spans="1:2" x14ac:dyDescent="0.2">
      <c r="A11483" t="str">
        <f>"OR9G9"</f>
        <v>OR9G9</v>
      </c>
      <c r="B11483" t="s">
        <v>5</v>
      </c>
    </row>
    <row r="11484" spans="1:2" x14ac:dyDescent="0.2">
      <c r="A11484" t="str">
        <f>"OR9I1"</f>
        <v>OR9I1</v>
      </c>
      <c r="B11484" t="s">
        <v>5</v>
      </c>
    </row>
    <row r="11485" spans="1:2" x14ac:dyDescent="0.2">
      <c r="A11485" t="str">
        <f>"OR9K2"</f>
        <v>OR9K2</v>
      </c>
      <c r="B11485" t="s">
        <v>5</v>
      </c>
    </row>
    <row r="11486" spans="1:2" x14ac:dyDescent="0.2">
      <c r="A11486" t="str">
        <f>"OR9Q1"</f>
        <v>OR9Q1</v>
      </c>
      <c r="B11486" t="s">
        <v>5</v>
      </c>
    </row>
    <row r="11487" spans="1:2" x14ac:dyDescent="0.2">
      <c r="A11487" t="str">
        <f>"OR9Q2"</f>
        <v>OR9Q2</v>
      </c>
      <c r="B11487" t="s">
        <v>4</v>
      </c>
    </row>
    <row r="11488" spans="1:2" x14ac:dyDescent="0.2">
      <c r="A11488" t="str">
        <f>"ORAI1"</f>
        <v>ORAI1</v>
      </c>
      <c r="B11488" t="s">
        <v>5</v>
      </c>
    </row>
    <row r="11489" spans="1:2" x14ac:dyDescent="0.2">
      <c r="A11489" t="str">
        <f>"ORAI2"</f>
        <v>ORAI2</v>
      </c>
      <c r="B11489" t="s">
        <v>5</v>
      </c>
    </row>
    <row r="11490" spans="1:2" x14ac:dyDescent="0.2">
      <c r="A11490" t="str">
        <f>"ORAI3"</f>
        <v>ORAI3</v>
      </c>
      <c r="B11490" t="s">
        <v>5</v>
      </c>
    </row>
    <row r="11491" spans="1:2" x14ac:dyDescent="0.2">
      <c r="A11491" t="str">
        <f>"ORAOV1"</f>
        <v>ORAOV1</v>
      </c>
      <c r="B11491" t="s">
        <v>4</v>
      </c>
    </row>
    <row r="11492" spans="1:2" x14ac:dyDescent="0.2">
      <c r="A11492" t="str">
        <f>"ORC1"</f>
        <v>ORC1</v>
      </c>
      <c r="B11492" t="s">
        <v>8</v>
      </c>
    </row>
    <row r="11493" spans="1:2" x14ac:dyDescent="0.2">
      <c r="A11493" t="str">
        <f>"ORC2"</f>
        <v>ORC2</v>
      </c>
      <c r="B11493" t="s">
        <v>6</v>
      </c>
    </row>
    <row r="11494" spans="1:2" x14ac:dyDescent="0.2">
      <c r="A11494" t="str">
        <f>"ORC3"</f>
        <v>ORC3</v>
      </c>
      <c r="B11494" t="s">
        <v>2</v>
      </c>
    </row>
    <row r="11495" spans="1:2" x14ac:dyDescent="0.2">
      <c r="A11495" t="str">
        <f>"ORC4"</f>
        <v>ORC4</v>
      </c>
      <c r="B11495" t="s">
        <v>8</v>
      </c>
    </row>
    <row r="11496" spans="1:2" x14ac:dyDescent="0.2">
      <c r="A11496" t="str">
        <f>"ORC5"</f>
        <v>ORC5</v>
      </c>
      <c r="B11496" t="s">
        <v>8</v>
      </c>
    </row>
    <row r="11497" spans="1:2" x14ac:dyDescent="0.2">
      <c r="A11497" t="str">
        <f>"ORC6"</f>
        <v>ORC6</v>
      </c>
      <c r="B11497" t="s">
        <v>8</v>
      </c>
    </row>
    <row r="11498" spans="1:2" x14ac:dyDescent="0.2">
      <c r="A11498" t="str">
        <f>"ORM1"</f>
        <v>ORM1</v>
      </c>
      <c r="B11498" t="s">
        <v>4</v>
      </c>
    </row>
    <row r="11499" spans="1:2" x14ac:dyDescent="0.2">
      <c r="A11499" t="str">
        <f>"ORM2"</f>
        <v>ORM2</v>
      </c>
      <c r="B11499" t="s">
        <v>4</v>
      </c>
    </row>
    <row r="11500" spans="1:2" x14ac:dyDescent="0.2">
      <c r="A11500" t="str">
        <f>"ORMDL1"</f>
        <v>ORMDL1</v>
      </c>
      <c r="B11500" t="s">
        <v>6</v>
      </c>
    </row>
    <row r="11501" spans="1:2" x14ac:dyDescent="0.2">
      <c r="A11501" t="str">
        <f>"ORMDL2"</f>
        <v>ORMDL2</v>
      </c>
      <c r="B11501" t="s">
        <v>2</v>
      </c>
    </row>
    <row r="11502" spans="1:2" x14ac:dyDescent="0.2">
      <c r="A11502" t="str">
        <f>"ORMDL3"</f>
        <v>ORMDL3</v>
      </c>
      <c r="B11502" t="s">
        <v>2</v>
      </c>
    </row>
    <row r="11503" spans="1:2" x14ac:dyDescent="0.2">
      <c r="A11503" t="str">
        <f>"OS9"</f>
        <v>OS9</v>
      </c>
      <c r="B11503" t="s">
        <v>2</v>
      </c>
    </row>
    <row r="11504" spans="1:2" x14ac:dyDescent="0.2">
      <c r="A11504" t="str">
        <f>"OSBP"</f>
        <v>OSBP</v>
      </c>
      <c r="B11504" t="s">
        <v>2</v>
      </c>
    </row>
    <row r="11505" spans="1:2" x14ac:dyDescent="0.2">
      <c r="A11505" t="str">
        <f>"OSBP2"</f>
        <v>OSBP2</v>
      </c>
      <c r="B11505" t="s">
        <v>2</v>
      </c>
    </row>
    <row r="11506" spans="1:2" x14ac:dyDescent="0.2">
      <c r="A11506" t="str">
        <f>"OSBPL10"</f>
        <v>OSBPL10</v>
      </c>
      <c r="B11506" t="s">
        <v>2</v>
      </c>
    </row>
    <row r="11507" spans="1:2" x14ac:dyDescent="0.2">
      <c r="A11507" t="str">
        <f>"OSBPL11"</f>
        <v>OSBPL11</v>
      </c>
      <c r="B11507" t="s">
        <v>2</v>
      </c>
    </row>
    <row r="11508" spans="1:2" x14ac:dyDescent="0.2">
      <c r="A11508" t="str">
        <f>"OSBPL1A"</f>
        <v>OSBPL1A</v>
      </c>
      <c r="B11508" t="s">
        <v>6</v>
      </c>
    </row>
    <row r="11509" spans="1:2" x14ac:dyDescent="0.2">
      <c r="A11509" t="str">
        <f>"OSBPL2"</f>
        <v>OSBPL2</v>
      </c>
      <c r="B11509" t="s">
        <v>6</v>
      </c>
    </row>
    <row r="11510" spans="1:2" x14ac:dyDescent="0.2">
      <c r="A11510" t="str">
        <f>"OSBPL3"</f>
        <v>OSBPL3</v>
      </c>
      <c r="B11510" t="s">
        <v>2</v>
      </c>
    </row>
    <row r="11511" spans="1:2" x14ac:dyDescent="0.2">
      <c r="A11511" t="str">
        <f>"OSBPL5"</f>
        <v>OSBPL5</v>
      </c>
      <c r="B11511" t="s">
        <v>2</v>
      </c>
    </row>
    <row r="11512" spans="1:2" x14ac:dyDescent="0.2">
      <c r="A11512" t="str">
        <f>"OSBPL6"</f>
        <v>OSBPL6</v>
      </c>
      <c r="B11512" t="s">
        <v>2</v>
      </c>
    </row>
    <row r="11513" spans="1:2" x14ac:dyDescent="0.2">
      <c r="A11513" t="str">
        <f>"OSBPL7"</f>
        <v>OSBPL7</v>
      </c>
      <c r="B11513" t="s">
        <v>2</v>
      </c>
    </row>
    <row r="11514" spans="1:2" x14ac:dyDescent="0.2">
      <c r="A11514" t="str">
        <f>"OSBPL8"</f>
        <v>OSBPL8</v>
      </c>
      <c r="B11514" t="s">
        <v>2</v>
      </c>
    </row>
    <row r="11515" spans="1:2" x14ac:dyDescent="0.2">
      <c r="A11515" t="str">
        <f>"OSBPL9"</f>
        <v>OSBPL9</v>
      </c>
      <c r="B11515" t="s">
        <v>2</v>
      </c>
    </row>
    <row r="11516" spans="1:2" x14ac:dyDescent="0.2">
      <c r="A11516" t="str">
        <f>"OSCAR"</f>
        <v>OSCAR</v>
      </c>
      <c r="B11516" t="s">
        <v>5</v>
      </c>
    </row>
    <row r="11517" spans="1:2" x14ac:dyDescent="0.2">
      <c r="A11517" t="str">
        <f>"OSCP1"</f>
        <v>OSCP1</v>
      </c>
      <c r="B11517" t="s">
        <v>4</v>
      </c>
    </row>
    <row r="11518" spans="1:2" x14ac:dyDescent="0.2">
      <c r="A11518" t="str">
        <f>"OSER1"</f>
        <v>OSER1</v>
      </c>
      <c r="B11518" t="s">
        <v>4</v>
      </c>
    </row>
    <row r="11519" spans="1:2" x14ac:dyDescent="0.2">
      <c r="A11519" t="str">
        <f>"OSGEP"</f>
        <v>OSGEP</v>
      </c>
      <c r="B11519" t="s">
        <v>2</v>
      </c>
    </row>
    <row r="11520" spans="1:2" x14ac:dyDescent="0.2">
      <c r="A11520" t="str">
        <f>"OSGEPL1"</f>
        <v>OSGEPL1</v>
      </c>
      <c r="B11520" t="s">
        <v>6</v>
      </c>
    </row>
    <row r="11521" spans="1:2" x14ac:dyDescent="0.2">
      <c r="A11521" t="str">
        <f>"OSGIN1"</f>
        <v>OSGIN1</v>
      </c>
      <c r="B11521" t="s">
        <v>4</v>
      </c>
    </row>
    <row r="11522" spans="1:2" x14ac:dyDescent="0.2">
      <c r="A11522" t="str">
        <f>"OSGIN2"</f>
        <v>OSGIN2</v>
      </c>
      <c r="B11522" t="s">
        <v>4</v>
      </c>
    </row>
    <row r="11523" spans="1:2" x14ac:dyDescent="0.2">
      <c r="A11523" t="str">
        <f>"OSM"</f>
        <v>OSM</v>
      </c>
      <c r="B11523" t="s">
        <v>3</v>
      </c>
    </row>
    <row r="11524" spans="1:2" x14ac:dyDescent="0.2">
      <c r="A11524" t="str">
        <f>"OSMR"</f>
        <v>OSMR</v>
      </c>
      <c r="B11524" t="s">
        <v>3</v>
      </c>
    </row>
    <row r="11525" spans="1:2" x14ac:dyDescent="0.2">
      <c r="A11525" t="str">
        <f>"OSR1"</f>
        <v>OSR1</v>
      </c>
      <c r="B11525" t="s">
        <v>8</v>
      </c>
    </row>
    <row r="11526" spans="1:2" x14ac:dyDescent="0.2">
      <c r="A11526" t="str">
        <f>"OSR2"</f>
        <v>OSR2</v>
      </c>
      <c r="B11526" t="s">
        <v>8</v>
      </c>
    </row>
    <row r="11527" spans="1:2" x14ac:dyDescent="0.2">
      <c r="A11527" t="str">
        <f>"OST4"</f>
        <v>OST4</v>
      </c>
      <c r="B11527" t="s">
        <v>4</v>
      </c>
    </row>
    <row r="11528" spans="1:2" x14ac:dyDescent="0.2">
      <c r="A11528" t="str">
        <f>"OSTC"</f>
        <v>OSTC</v>
      </c>
      <c r="B11528" t="s">
        <v>2</v>
      </c>
    </row>
    <row r="11529" spans="1:2" x14ac:dyDescent="0.2">
      <c r="A11529" t="str">
        <f>"OSTF1"</f>
        <v>OSTF1</v>
      </c>
      <c r="B11529" t="s">
        <v>8</v>
      </c>
    </row>
    <row r="11530" spans="1:2" x14ac:dyDescent="0.2">
      <c r="A11530" t="str">
        <f>"OSTM1"</f>
        <v>OSTM1</v>
      </c>
      <c r="B11530" t="s">
        <v>2</v>
      </c>
    </row>
    <row r="11531" spans="1:2" x14ac:dyDescent="0.2">
      <c r="A11531" t="str">
        <f>"OSTN"</f>
        <v>OSTN</v>
      </c>
      <c r="B11531" t="s">
        <v>4</v>
      </c>
    </row>
    <row r="11532" spans="1:2" x14ac:dyDescent="0.2">
      <c r="A11532" t="str">
        <f>"OTC"</f>
        <v>OTC</v>
      </c>
      <c r="B11532" t="s">
        <v>7</v>
      </c>
    </row>
    <row r="11533" spans="1:2" x14ac:dyDescent="0.2">
      <c r="A11533" t="str">
        <f>"OTOA"</f>
        <v>OTOA</v>
      </c>
      <c r="B11533" t="s">
        <v>4</v>
      </c>
    </row>
    <row r="11534" spans="1:2" x14ac:dyDescent="0.2">
      <c r="A11534" t="str">
        <f>"OTOF"</f>
        <v>OTOF</v>
      </c>
      <c r="B11534" t="s">
        <v>5</v>
      </c>
    </row>
    <row r="11535" spans="1:2" x14ac:dyDescent="0.2">
      <c r="A11535" t="str">
        <f>"OTOG"</f>
        <v>OTOG</v>
      </c>
      <c r="B11535" t="s">
        <v>4</v>
      </c>
    </row>
    <row r="11536" spans="1:2" x14ac:dyDescent="0.2">
      <c r="A11536" t="str">
        <f>"OTOGL"</f>
        <v>OTOGL</v>
      </c>
      <c r="B11536" t="s">
        <v>4</v>
      </c>
    </row>
    <row r="11537" spans="1:2" x14ac:dyDescent="0.2">
      <c r="A11537" t="str">
        <f>"OTOL1"</f>
        <v>OTOL1</v>
      </c>
      <c r="B11537" t="s">
        <v>4</v>
      </c>
    </row>
    <row r="11538" spans="1:2" x14ac:dyDescent="0.2">
      <c r="A11538" t="str">
        <f>"OTOP1"</f>
        <v>OTOP1</v>
      </c>
      <c r="B11538" t="s">
        <v>5</v>
      </c>
    </row>
    <row r="11539" spans="1:2" x14ac:dyDescent="0.2">
      <c r="A11539" t="str">
        <f>"OTOP2"</f>
        <v>OTOP2</v>
      </c>
      <c r="B11539" t="s">
        <v>5</v>
      </c>
    </row>
    <row r="11540" spans="1:2" x14ac:dyDescent="0.2">
      <c r="A11540" t="str">
        <f>"OTOP3"</f>
        <v>OTOP3</v>
      </c>
      <c r="B11540" t="s">
        <v>8</v>
      </c>
    </row>
    <row r="11541" spans="1:2" x14ac:dyDescent="0.2">
      <c r="A11541" t="str">
        <f>"OTOR"</f>
        <v>OTOR</v>
      </c>
      <c r="B11541" t="s">
        <v>4</v>
      </c>
    </row>
    <row r="11542" spans="1:2" x14ac:dyDescent="0.2">
      <c r="A11542" t="str">
        <f>"OTOS"</f>
        <v>OTOS</v>
      </c>
      <c r="B11542" t="s">
        <v>4</v>
      </c>
    </row>
    <row r="11543" spans="1:2" x14ac:dyDescent="0.2">
      <c r="A11543" t="str">
        <f>"OTP"</f>
        <v>OTP</v>
      </c>
      <c r="B11543" t="s">
        <v>8</v>
      </c>
    </row>
    <row r="11544" spans="1:2" x14ac:dyDescent="0.2">
      <c r="A11544" t="str">
        <f>"OTUB1"</f>
        <v>OTUB1</v>
      </c>
      <c r="B11544" t="s">
        <v>2</v>
      </c>
    </row>
    <row r="11545" spans="1:2" x14ac:dyDescent="0.2">
      <c r="A11545" t="str">
        <f>"OTUB2"</f>
        <v>OTUB2</v>
      </c>
      <c r="B11545" t="s">
        <v>2</v>
      </c>
    </row>
    <row r="11546" spans="1:2" x14ac:dyDescent="0.2">
      <c r="A11546" t="str">
        <f>"OTUD1"</f>
        <v>OTUD1</v>
      </c>
      <c r="B11546" t="s">
        <v>2</v>
      </c>
    </row>
    <row r="11547" spans="1:2" x14ac:dyDescent="0.2">
      <c r="A11547" t="str">
        <f>"OTUD3"</f>
        <v>OTUD3</v>
      </c>
      <c r="B11547" t="s">
        <v>4</v>
      </c>
    </row>
    <row r="11548" spans="1:2" x14ac:dyDescent="0.2">
      <c r="A11548" t="str">
        <f>"OTUD4"</f>
        <v>OTUD4</v>
      </c>
      <c r="B11548" t="s">
        <v>2</v>
      </c>
    </row>
    <row r="11549" spans="1:2" x14ac:dyDescent="0.2">
      <c r="A11549" t="str">
        <f>"OTUD5"</f>
        <v>OTUD5</v>
      </c>
      <c r="B11549" t="s">
        <v>2</v>
      </c>
    </row>
    <row r="11550" spans="1:2" x14ac:dyDescent="0.2">
      <c r="A11550" t="str">
        <f>"OTUD6A"</f>
        <v>OTUD6A</v>
      </c>
      <c r="B11550" t="s">
        <v>4</v>
      </c>
    </row>
    <row r="11551" spans="1:2" x14ac:dyDescent="0.2">
      <c r="A11551" t="str">
        <f>"OTUD6B"</f>
        <v>OTUD6B</v>
      </c>
      <c r="B11551" t="s">
        <v>2</v>
      </c>
    </row>
    <row r="11552" spans="1:2" x14ac:dyDescent="0.2">
      <c r="A11552" t="str">
        <f>"OTUD7A"</f>
        <v>OTUD7A</v>
      </c>
      <c r="B11552" t="s">
        <v>2</v>
      </c>
    </row>
    <row r="11553" spans="1:2" x14ac:dyDescent="0.2">
      <c r="A11553" t="str">
        <f>"OTUD7B"</f>
        <v>OTUD7B</v>
      </c>
      <c r="B11553" t="s">
        <v>2</v>
      </c>
    </row>
    <row r="11554" spans="1:2" x14ac:dyDescent="0.2">
      <c r="A11554" t="str">
        <f>"OTX1"</f>
        <v>OTX1</v>
      </c>
      <c r="B11554" t="s">
        <v>2</v>
      </c>
    </row>
    <row r="11555" spans="1:2" x14ac:dyDescent="0.2">
      <c r="A11555" t="str">
        <f>"OTX2"</f>
        <v>OTX2</v>
      </c>
      <c r="B11555" t="s">
        <v>2</v>
      </c>
    </row>
    <row r="11556" spans="1:2" x14ac:dyDescent="0.2">
      <c r="A11556" t="str">
        <f>"OVCA2"</f>
        <v>OVCA2</v>
      </c>
      <c r="B11556" t="s">
        <v>3</v>
      </c>
    </row>
    <row r="11557" spans="1:2" x14ac:dyDescent="0.2">
      <c r="A11557" t="str">
        <f>"OVCH1"</f>
        <v>OVCH1</v>
      </c>
      <c r="B11557" t="s">
        <v>2</v>
      </c>
    </row>
    <row r="11558" spans="1:2" x14ac:dyDescent="0.2">
      <c r="A11558" t="str">
        <f>"OVCH2"</f>
        <v>OVCH2</v>
      </c>
      <c r="B11558" t="s">
        <v>2</v>
      </c>
    </row>
    <row r="11559" spans="1:2" x14ac:dyDescent="0.2">
      <c r="A11559" t="str">
        <f>"OVGP1"</f>
        <v>OVGP1</v>
      </c>
      <c r="B11559" t="s">
        <v>3</v>
      </c>
    </row>
    <row r="11560" spans="1:2" x14ac:dyDescent="0.2">
      <c r="A11560" t="str">
        <f>"OVOL1"</f>
        <v>OVOL1</v>
      </c>
      <c r="B11560" t="s">
        <v>2</v>
      </c>
    </row>
    <row r="11561" spans="1:2" x14ac:dyDescent="0.2">
      <c r="A11561" t="str">
        <f>"OVOL2"</f>
        <v>OVOL2</v>
      </c>
      <c r="B11561" t="s">
        <v>8</v>
      </c>
    </row>
    <row r="11562" spans="1:2" x14ac:dyDescent="0.2">
      <c r="A11562" t="str">
        <f>"OVOL3"</f>
        <v>OVOL3</v>
      </c>
      <c r="B11562" t="s">
        <v>4</v>
      </c>
    </row>
    <row r="11563" spans="1:2" x14ac:dyDescent="0.2">
      <c r="A11563" t="str">
        <f>"OXA1L"</f>
        <v>OXA1L</v>
      </c>
      <c r="B11563" t="s">
        <v>6</v>
      </c>
    </row>
    <row r="11564" spans="1:2" x14ac:dyDescent="0.2">
      <c r="A11564" t="str">
        <f>"OXCT1"</f>
        <v>OXCT1</v>
      </c>
      <c r="B11564" t="s">
        <v>7</v>
      </c>
    </row>
    <row r="11565" spans="1:2" x14ac:dyDescent="0.2">
      <c r="A11565" t="str">
        <f>"OXCT2"</f>
        <v>OXCT2</v>
      </c>
      <c r="B11565" t="s">
        <v>7</v>
      </c>
    </row>
    <row r="11566" spans="1:2" x14ac:dyDescent="0.2">
      <c r="A11566" t="str">
        <f>"OXER1"</f>
        <v>OXER1</v>
      </c>
      <c r="B11566" t="s">
        <v>5</v>
      </c>
    </row>
    <row r="11567" spans="1:2" x14ac:dyDescent="0.2">
      <c r="A11567" t="str">
        <f>"OXGR1"</f>
        <v>OXGR1</v>
      </c>
      <c r="B11567" t="s">
        <v>5</v>
      </c>
    </row>
    <row r="11568" spans="1:2" x14ac:dyDescent="0.2">
      <c r="A11568" t="str">
        <f>"OXLD1"</f>
        <v>OXLD1</v>
      </c>
      <c r="B11568" t="s">
        <v>6</v>
      </c>
    </row>
    <row r="11569" spans="1:2" x14ac:dyDescent="0.2">
      <c r="A11569" t="str">
        <f>"OXNAD1"</f>
        <v>OXNAD1</v>
      </c>
      <c r="B11569" t="s">
        <v>2</v>
      </c>
    </row>
    <row r="11570" spans="1:2" x14ac:dyDescent="0.2">
      <c r="A11570" t="str">
        <f>"OXR1"</f>
        <v>OXR1</v>
      </c>
      <c r="B11570" t="s">
        <v>6</v>
      </c>
    </row>
    <row r="11571" spans="1:2" x14ac:dyDescent="0.2">
      <c r="A11571" t="str">
        <f>"OXSM"</f>
        <v>OXSM</v>
      </c>
      <c r="B11571" t="s">
        <v>6</v>
      </c>
    </row>
    <row r="11572" spans="1:2" x14ac:dyDescent="0.2">
      <c r="A11572" t="str">
        <f>"OXSR1"</f>
        <v>OXSR1</v>
      </c>
      <c r="B11572" t="s">
        <v>7</v>
      </c>
    </row>
    <row r="11573" spans="1:2" x14ac:dyDescent="0.2">
      <c r="A11573" t="str">
        <f>"OXT"</f>
        <v>OXT</v>
      </c>
      <c r="B11573" t="s">
        <v>7</v>
      </c>
    </row>
    <row r="11574" spans="1:2" x14ac:dyDescent="0.2">
      <c r="A11574" t="str">
        <f>"OXTR"</f>
        <v>OXTR</v>
      </c>
      <c r="B11574" t="s">
        <v>7</v>
      </c>
    </row>
    <row r="11575" spans="1:2" x14ac:dyDescent="0.2">
      <c r="A11575" t="str">
        <f>"P2RX1"</f>
        <v>P2RX1</v>
      </c>
      <c r="B11575" t="s">
        <v>2</v>
      </c>
    </row>
    <row r="11576" spans="1:2" x14ac:dyDescent="0.2">
      <c r="A11576" t="str">
        <f>"P2RX2"</f>
        <v>P2RX2</v>
      </c>
      <c r="B11576" t="s">
        <v>5</v>
      </c>
    </row>
    <row r="11577" spans="1:2" x14ac:dyDescent="0.2">
      <c r="A11577" t="str">
        <f>"P2RX3"</f>
        <v>P2RX3</v>
      </c>
      <c r="B11577" t="s">
        <v>5</v>
      </c>
    </row>
    <row r="11578" spans="1:2" x14ac:dyDescent="0.2">
      <c r="A11578" t="str">
        <f>"P2RX4"</f>
        <v>P2RX4</v>
      </c>
      <c r="B11578" t="s">
        <v>2</v>
      </c>
    </row>
    <row r="11579" spans="1:2" x14ac:dyDescent="0.2">
      <c r="A11579" t="str">
        <f>"P2RX5"</f>
        <v>P2RX5</v>
      </c>
      <c r="B11579" t="s">
        <v>5</v>
      </c>
    </row>
    <row r="11580" spans="1:2" x14ac:dyDescent="0.2">
      <c r="A11580" t="str">
        <f>"P2RX6"</f>
        <v>P2RX6</v>
      </c>
      <c r="B11580" t="s">
        <v>5</v>
      </c>
    </row>
    <row r="11581" spans="1:2" x14ac:dyDescent="0.2">
      <c r="A11581" t="str">
        <f>"P2RX7"</f>
        <v>P2RX7</v>
      </c>
      <c r="B11581" t="s">
        <v>3</v>
      </c>
    </row>
    <row r="11582" spans="1:2" x14ac:dyDescent="0.2">
      <c r="A11582" t="str">
        <f>"P2RY1"</f>
        <v>P2RY1</v>
      </c>
      <c r="B11582" t="s">
        <v>3</v>
      </c>
    </row>
    <row r="11583" spans="1:2" x14ac:dyDescent="0.2">
      <c r="A11583" t="str">
        <f>"P2RY10"</f>
        <v>P2RY10</v>
      </c>
      <c r="B11583" t="s">
        <v>5</v>
      </c>
    </row>
    <row r="11584" spans="1:2" x14ac:dyDescent="0.2">
      <c r="A11584" t="str">
        <f>"P2RY11"</f>
        <v>P2RY11</v>
      </c>
      <c r="B11584" t="s">
        <v>5</v>
      </c>
    </row>
    <row r="11585" spans="1:2" x14ac:dyDescent="0.2">
      <c r="A11585" t="str">
        <f>"P2RY12"</f>
        <v>P2RY12</v>
      </c>
      <c r="B11585" t="s">
        <v>7</v>
      </c>
    </row>
    <row r="11586" spans="1:2" x14ac:dyDescent="0.2">
      <c r="A11586" t="str">
        <f>"P2RY13"</f>
        <v>P2RY13</v>
      </c>
      <c r="B11586" t="s">
        <v>6</v>
      </c>
    </row>
    <row r="11587" spans="1:2" x14ac:dyDescent="0.2">
      <c r="A11587" t="str">
        <f>"P2RY14"</f>
        <v>P2RY14</v>
      </c>
      <c r="B11587" t="s">
        <v>5</v>
      </c>
    </row>
    <row r="11588" spans="1:2" x14ac:dyDescent="0.2">
      <c r="A11588" t="str">
        <f>"P2RY2"</f>
        <v>P2RY2</v>
      </c>
      <c r="B11588" t="s">
        <v>7</v>
      </c>
    </row>
    <row r="11589" spans="1:2" x14ac:dyDescent="0.2">
      <c r="A11589" t="str">
        <f>"P2RY4"</f>
        <v>P2RY4</v>
      </c>
      <c r="B11589" t="s">
        <v>5</v>
      </c>
    </row>
    <row r="11590" spans="1:2" x14ac:dyDescent="0.2">
      <c r="A11590" t="str">
        <f>"P2RY6"</f>
        <v>P2RY6</v>
      </c>
      <c r="B11590" t="s">
        <v>5</v>
      </c>
    </row>
    <row r="11591" spans="1:2" x14ac:dyDescent="0.2">
      <c r="A11591" t="str">
        <f>"P2RY8"</f>
        <v>P2RY8</v>
      </c>
      <c r="B11591" t="s">
        <v>5</v>
      </c>
    </row>
    <row r="11592" spans="1:2" x14ac:dyDescent="0.2">
      <c r="A11592" t="str">
        <f>"P4HA1"</f>
        <v>P4HA1</v>
      </c>
      <c r="B11592" t="s">
        <v>7</v>
      </c>
    </row>
    <row r="11593" spans="1:2" x14ac:dyDescent="0.2">
      <c r="A11593" t="str">
        <f>"P4HA2"</f>
        <v>P4HA2</v>
      </c>
      <c r="B11593" t="s">
        <v>7</v>
      </c>
    </row>
    <row r="11594" spans="1:2" x14ac:dyDescent="0.2">
      <c r="A11594" t="str">
        <f>"P4HA3"</f>
        <v>P4HA3</v>
      </c>
      <c r="B11594" t="s">
        <v>2</v>
      </c>
    </row>
    <row r="11595" spans="1:2" x14ac:dyDescent="0.2">
      <c r="A11595" t="str">
        <f>"P4HB"</f>
        <v>P4HB</v>
      </c>
      <c r="B11595" t="s">
        <v>7</v>
      </c>
    </row>
    <row r="11596" spans="1:2" x14ac:dyDescent="0.2">
      <c r="A11596" t="str">
        <f>"P4HTM"</f>
        <v>P4HTM</v>
      </c>
      <c r="B11596" t="s">
        <v>7</v>
      </c>
    </row>
    <row r="11597" spans="1:2" x14ac:dyDescent="0.2">
      <c r="A11597" t="str">
        <f>"PA2G4"</f>
        <v>PA2G4</v>
      </c>
      <c r="B11597" t="s">
        <v>3</v>
      </c>
    </row>
    <row r="11598" spans="1:2" x14ac:dyDescent="0.2">
      <c r="A11598" t="str">
        <f>"PAAF1"</f>
        <v>PAAF1</v>
      </c>
      <c r="B11598" t="s">
        <v>2</v>
      </c>
    </row>
    <row r="11599" spans="1:2" x14ac:dyDescent="0.2">
      <c r="A11599" t="str">
        <f>"PABPC1"</f>
        <v>PABPC1</v>
      </c>
      <c r="B11599" t="s">
        <v>2</v>
      </c>
    </row>
    <row r="11600" spans="1:2" x14ac:dyDescent="0.2">
      <c r="A11600" t="str">
        <f>"PABPC1L"</f>
        <v>PABPC1L</v>
      </c>
      <c r="B11600" t="s">
        <v>8</v>
      </c>
    </row>
    <row r="11601" spans="1:2" x14ac:dyDescent="0.2">
      <c r="A11601" t="str">
        <f>"PABPC1L2A"</f>
        <v>PABPC1L2A</v>
      </c>
      <c r="B11601" t="s">
        <v>4</v>
      </c>
    </row>
    <row r="11602" spans="1:2" x14ac:dyDescent="0.2">
      <c r="A11602" t="str">
        <f>"PABPC1L2B"</f>
        <v>PABPC1L2B</v>
      </c>
      <c r="B11602" t="s">
        <v>8</v>
      </c>
    </row>
    <row r="11603" spans="1:2" x14ac:dyDescent="0.2">
      <c r="A11603" t="str">
        <f>"PABPC3"</f>
        <v>PABPC3</v>
      </c>
      <c r="B11603" t="s">
        <v>8</v>
      </c>
    </row>
    <row r="11604" spans="1:2" x14ac:dyDescent="0.2">
      <c r="A11604" t="str">
        <f>"PABPC4"</f>
        <v>PABPC4</v>
      </c>
      <c r="B11604" t="s">
        <v>6</v>
      </c>
    </row>
    <row r="11605" spans="1:2" x14ac:dyDescent="0.2">
      <c r="A11605" t="str">
        <f>"PABPC4L"</f>
        <v>PABPC4L</v>
      </c>
      <c r="B11605" t="s">
        <v>4</v>
      </c>
    </row>
    <row r="11606" spans="1:2" x14ac:dyDescent="0.2">
      <c r="A11606" t="str">
        <f>"PABPC5"</f>
        <v>PABPC5</v>
      </c>
      <c r="B11606" t="s">
        <v>8</v>
      </c>
    </row>
    <row r="11607" spans="1:2" x14ac:dyDescent="0.2">
      <c r="A11607" t="str">
        <f>"PABPN1"</f>
        <v>PABPN1</v>
      </c>
      <c r="B11607" t="s">
        <v>8</v>
      </c>
    </row>
    <row r="11608" spans="1:2" x14ac:dyDescent="0.2">
      <c r="A11608" t="str">
        <f>"PABPN1L"</f>
        <v>PABPN1L</v>
      </c>
      <c r="B11608" t="s">
        <v>8</v>
      </c>
    </row>
    <row r="11609" spans="1:2" x14ac:dyDescent="0.2">
      <c r="A11609" t="str">
        <f>"PACRG"</f>
        <v>PACRG</v>
      </c>
      <c r="B11609" t="s">
        <v>6</v>
      </c>
    </row>
    <row r="11610" spans="1:2" x14ac:dyDescent="0.2">
      <c r="A11610" t="str">
        <f>"PACRGL"</f>
        <v>PACRGL</v>
      </c>
      <c r="B11610" t="s">
        <v>4</v>
      </c>
    </row>
    <row r="11611" spans="1:2" x14ac:dyDescent="0.2">
      <c r="A11611" t="str">
        <f>"PACS1"</f>
        <v>PACS1</v>
      </c>
      <c r="B11611" t="s">
        <v>6</v>
      </c>
    </row>
    <row r="11612" spans="1:2" x14ac:dyDescent="0.2">
      <c r="A11612" t="str">
        <f>"PACS2"</f>
        <v>PACS2</v>
      </c>
      <c r="B11612" t="s">
        <v>2</v>
      </c>
    </row>
    <row r="11613" spans="1:2" x14ac:dyDescent="0.2">
      <c r="A11613" t="str">
        <f>"PACSIN1"</f>
        <v>PACSIN1</v>
      </c>
      <c r="B11613" t="s">
        <v>7</v>
      </c>
    </row>
    <row r="11614" spans="1:2" x14ac:dyDescent="0.2">
      <c r="A11614" t="str">
        <f>"PACSIN2"</f>
        <v>PACSIN2</v>
      </c>
      <c r="B11614" t="s">
        <v>7</v>
      </c>
    </row>
    <row r="11615" spans="1:2" x14ac:dyDescent="0.2">
      <c r="A11615" t="str">
        <f>"PACSIN3"</f>
        <v>PACSIN3</v>
      </c>
      <c r="B11615" t="s">
        <v>7</v>
      </c>
    </row>
    <row r="11616" spans="1:2" x14ac:dyDescent="0.2">
      <c r="A11616" t="str">
        <f>"PADI1"</f>
        <v>PADI1</v>
      </c>
      <c r="B11616" t="s">
        <v>7</v>
      </c>
    </row>
    <row r="11617" spans="1:2" x14ac:dyDescent="0.2">
      <c r="A11617" t="str">
        <f>"PADI2"</f>
        <v>PADI2</v>
      </c>
      <c r="B11617" t="s">
        <v>7</v>
      </c>
    </row>
    <row r="11618" spans="1:2" x14ac:dyDescent="0.2">
      <c r="A11618" t="str">
        <f>"PADI3"</f>
        <v>PADI3</v>
      </c>
      <c r="B11618" t="s">
        <v>7</v>
      </c>
    </row>
    <row r="11619" spans="1:2" x14ac:dyDescent="0.2">
      <c r="A11619" t="str">
        <f>"PADI4"</f>
        <v>PADI4</v>
      </c>
      <c r="B11619" t="s">
        <v>7</v>
      </c>
    </row>
    <row r="11620" spans="1:2" x14ac:dyDescent="0.2">
      <c r="A11620" t="str">
        <f>"PADI6"</f>
        <v>PADI6</v>
      </c>
      <c r="B11620" t="s">
        <v>7</v>
      </c>
    </row>
    <row r="11621" spans="1:2" x14ac:dyDescent="0.2">
      <c r="A11621" t="str">
        <f>"PAEP"</f>
        <v>PAEP</v>
      </c>
      <c r="B11621" t="s">
        <v>7</v>
      </c>
    </row>
    <row r="11622" spans="1:2" x14ac:dyDescent="0.2">
      <c r="A11622" t="str">
        <f>"PAF1"</f>
        <v>PAF1</v>
      </c>
      <c r="B11622" t="s">
        <v>6</v>
      </c>
    </row>
    <row r="11623" spans="1:2" x14ac:dyDescent="0.2">
      <c r="A11623" t="str">
        <f>"PAFAH1B1"</f>
        <v>PAFAH1B1</v>
      </c>
      <c r="B11623" t="s">
        <v>3</v>
      </c>
    </row>
    <row r="11624" spans="1:2" x14ac:dyDescent="0.2">
      <c r="A11624" t="str">
        <f>"PAFAH1B2"</f>
        <v>PAFAH1B2</v>
      </c>
      <c r="B11624" t="s">
        <v>3</v>
      </c>
    </row>
    <row r="11625" spans="1:2" x14ac:dyDescent="0.2">
      <c r="A11625" t="str">
        <f>"PAFAH1B3"</f>
        <v>PAFAH1B3</v>
      </c>
      <c r="B11625" t="s">
        <v>3</v>
      </c>
    </row>
    <row r="11626" spans="1:2" x14ac:dyDescent="0.2">
      <c r="A11626" t="str">
        <f>"PAFAH2"</f>
        <v>PAFAH2</v>
      </c>
      <c r="B11626" t="s">
        <v>2</v>
      </c>
    </row>
    <row r="11627" spans="1:2" x14ac:dyDescent="0.2">
      <c r="A11627" t="str">
        <f>"PAG1"</f>
        <v>PAG1</v>
      </c>
      <c r="B11627" t="s">
        <v>6</v>
      </c>
    </row>
    <row r="11628" spans="1:2" x14ac:dyDescent="0.2">
      <c r="A11628" t="str">
        <f>"PAGE1"</f>
        <v>PAGE1</v>
      </c>
      <c r="B11628" t="s">
        <v>3</v>
      </c>
    </row>
    <row r="11629" spans="1:2" x14ac:dyDescent="0.2">
      <c r="A11629" t="str">
        <f>"PAGE2"</f>
        <v>PAGE2</v>
      </c>
      <c r="B11629" t="s">
        <v>4</v>
      </c>
    </row>
    <row r="11630" spans="1:2" x14ac:dyDescent="0.2">
      <c r="A11630" t="str">
        <f>"PAGE2B"</f>
        <v>PAGE2B</v>
      </c>
      <c r="B11630" t="s">
        <v>6</v>
      </c>
    </row>
    <row r="11631" spans="1:2" x14ac:dyDescent="0.2">
      <c r="A11631" t="str">
        <f>"PAGE4"</f>
        <v>PAGE4</v>
      </c>
      <c r="B11631" t="s">
        <v>4</v>
      </c>
    </row>
    <row r="11632" spans="1:2" x14ac:dyDescent="0.2">
      <c r="A11632" t="str">
        <f>"PAGE5"</f>
        <v>PAGE5</v>
      </c>
      <c r="B11632" t="s">
        <v>4</v>
      </c>
    </row>
    <row r="11633" spans="1:2" x14ac:dyDescent="0.2">
      <c r="A11633" t="str">
        <f>"PAGR1"</f>
        <v>PAGR1</v>
      </c>
      <c r="B11633" t="s">
        <v>4</v>
      </c>
    </row>
    <row r="11634" spans="1:2" x14ac:dyDescent="0.2">
      <c r="A11634" t="str">
        <f>"PAH"</f>
        <v>PAH</v>
      </c>
      <c r="B11634" t="s">
        <v>7</v>
      </c>
    </row>
    <row r="11635" spans="1:2" x14ac:dyDescent="0.2">
      <c r="A11635" t="str">
        <f>"PAICS"</f>
        <v>PAICS</v>
      </c>
      <c r="B11635" t="s">
        <v>7</v>
      </c>
    </row>
    <row r="11636" spans="1:2" x14ac:dyDescent="0.2">
      <c r="A11636" t="str">
        <f>"PAIP1"</f>
        <v>PAIP1</v>
      </c>
      <c r="B11636" t="s">
        <v>8</v>
      </c>
    </row>
    <row r="11637" spans="1:2" x14ac:dyDescent="0.2">
      <c r="A11637" t="str">
        <f>"PAIP2"</f>
        <v>PAIP2</v>
      </c>
      <c r="B11637" t="s">
        <v>8</v>
      </c>
    </row>
    <row r="11638" spans="1:2" x14ac:dyDescent="0.2">
      <c r="A11638" t="str">
        <f>"PAIP2B"</f>
        <v>PAIP2B</v>
      </c>
      <c r="B11638" t="s">
        <v>8</v>
      </c>
    </row>
    <row r="11639" spans="1:2" x14ac:dyDescent="0.2">
      <c r="A11639" t="str">
        <f>"PAK1"</f>
        <v>PAK1</v>
      </c>
      <c r="B11639" t="s">
        <v>7</v>
      </c>
    </row>
    <row r="11640" spans="1:2" x14ac:dyDescent="0.2">
      <c r="A11640" t="str">
        <f>"PAK1IP1"</f>
        <v>PAK1IP1</v>
      </c>
      <c r="B11640" t="s">
        <v>8</v>
      </c>
    </row>
    <row r="11641" spans="1:2" x14ac:dyDescent="0.2">
      <c r="A11641" t="str">
        <f>"PAK2"</f>
        <v>PAK2</v>
      </c>
      <c r="B11641" t="s">
        <v>7</v>
      </c>
    </row>
    <row r="11642" spans="1:2" x14ac:dyDescent="0.2">
      <c r="A11642" t="str">
        <f>"PAK3"</f>
        <v>PAK3</v>
      </c>
      <c r="B11642" t="s">
        <v>7</v>
      </c>
    </row>
    <row r="11643" spans="1:2" x14ac:dyDescent="0.2">
      <c r="A11643" t="str">
        <f>"PAK4"</f>
        <v>PAK4</v>
      </c>
      <c r="B11643" t="s">
        <v>7</v>
      </c>
    </row>
    <row r="11644" spans="1:2" x14ac:dyDescent="0.2">
      <c r="A11644" t="str">
        <f>"PAK6"</f>
        <v>PAK6</v>
      </c>
      <c r="B11644" t="s">
        <v>7</v>
      </c>
    </row>
    <row r="11645" spans="1:2" x14ac:dyDescent="0.2">
      <c r="A11645" t="str">
        <f>"PAK7"</f>
        <v>PAK7</v>
      </c>
      <c r="B11645" t="s">
        <v>7</v>
      </c>
    </row>
    <row r="11646" spans="1:2" x14ac:dyDescent="0.2">
      <c r="A11646" t="str">
        <f>"PALB2"</f>
        <v>PALB2</v>
      </c>
      <c r="B11646" t="s">
        <v>3</v>
      </c>
    </row>
    <row r="11647" spans="1:2" x14ac:dyDescent="0.2">
      <c r="A11647" t="str">
        <f>"PALD1"</f>
        <v>PALD1</v>
      </c>
      <c r="B11647" t="s">
        <v>8</v>
      </c>
    </row>
    <row r="11648" spans="1:2" x14ac:dyDescent="0.2">
      <c r="A11648" t="str">
        <f>"PALLD"</f>
        <v>PALLD</v>
      </c>
      <c r="B11648" t="s">
        <v>6</v>
      </c>
    </row>
    <row r="11649" spans="1:2" x14ac:dyDescent="0.2">
      <c r="A11649" t="str">
        <f>"PALM"</f>
        <v>PALM</v>
      </c>
      <c r="B11649" t="s">
        <v>6</v>
      </c>
    </row>
    <row r="11650" spans="1:2" x14ac:dyDescent="0.2">
      <c r="A11650" t="str">
        <f>"PALM2"</f>
        <v>PALM2</v>
      </c>
      <c r="B11650" t="s">
        <v>4</v>
      </c>
    </row>
    <row r="11651" spans="1:2" x14ac:dyDescent="0.2">
      <c r="A11651" t="str">
        <f>"PALM2-AKAP2"</f>
        <v>PALM2-AKAP2</v>
      </c>
      <c r="B11651" t="s">
        <v>3</v>
      </c>
    </row>
    <row r="11652" spans="1:2" x14ac:dyDescent="0.2">
      <c r="A11652" t="str">
        <f>"PALM3"</f>
        <v>PALM3</v>
      </c>
      <c r="B11652" t="s">
        <v>4</v>
      </c>
    </row>
    <row r="11653" spans="1:2" x14ac:dyDescent="0.2">
      <c r="A11653" t="str">
        <f>"PALMD"</f>
        <v>PALMD</v>
      </c>
      <c r="B11653" t="s">
        <v>4</v>
      </c>
    </row>
    <row r="11654" spans="1:2" x14ac:dyDescent="0.2">
      <c r="A11654" t="str">
        <f>"PAM"</f>
        <v>PAM</v>
      </c>
      <c r="B11654" t="s">
        <v>7</v>
      </c>
    </row>
    <row r="11655" spans="1:2" x14ac:dyDescent="0.2">
      <c r="A11655" t="str">
        <f>"PAM16"</f>
        <v>PAM16</v>
      </c>
      <c r="B11655" t="s">
        <v>6</v>
      </c>
    </row>
    <row r="11656" spans="1:2" x14ac:dyDescent="0.2">
      <c r="A11656" t="str">
        <f>"PAMR1"</f>
        <v>PAMR1</v>
      </c>
      <c r="B11656" t="s">
        <v>2</v>
      </c>
    </row>
    <row r="11657" spans="1:2" x14ac:dyDescent="0.2">
      <c r="A11657" t="str">
        <f>"PAN2"</f>
        <v>PAN2</v>
      </c>
      <c r="B11657" t="s">
        <v>2</v>
      </c>
    </row>
    <row r="11658" spans="1:2" x14ac:dyDescent="0.2">
      <c r="A11658" t="str">
        <f>"PAN3"</f>
        <v>PAN3</v>
      </c>
      <c r="B11658" t="s">
        <v>5</v>
      </c>
    </row>
    <row r="11659" spans="1:2" x14ac:dyDescent="0.2">
      <c r="A11659" t="str">
        <f>"PANK1"</f>
        <v>PANK1</v>
      </c>
      <c r="B11659" t="s">
        <v>7</v>
      </c>
    </row>
    <row r="11660" spans="1:2" x14ac:dyDescent="0.2">
      <c r="A11660" t="str">
        <f>"PANK2"</f>
        <v>PANK2</v>
      </c>
      <c r="B11660" t="s">
        <v>7</v>
      </c>
    </row>
    <row r="11661" spans="1:2" x14ac:dyDescent="0.2">
      <c r="A11661" t="str">
        <f>"PANK3"</f>
        <v>PANK3</v>
      </c>
      <c r="B11661" t="s">
        <v>7</v>
      </c>
    </row>
    <row r="11662" spans="1:2" x14ac:dyDescent="0.2">
      <c r="A11662" t="str">
        <f>"PANK4"</f>
        <v>PANK4</v>
      </c>
      <c r="B11662" t="s">
        <v>7</v>
      </c>
    </row>
    <row r="11663" spans="1:2" x14ac:dyDescent="0.2">
      <c r="A11663" t="str">
        <f>"PANX1"</f>
        <v>PANX1</v>
      </c>
      <c r="B11663" t="s">
        <v>7</v>
      </c>
    </row>
    <row r="11664" spans="1:2" x14ac:dyDescent="0.2">
      <c r="A11664" t="str">
        <f>"PANX2"</f>
        <v>PANX2</v>
      </c>
      <c r="B11664" t="s">
        <v>5</v>
      </c>
    </row>
    <row r="11665" spans="1:2" x14ac:dyDescent="0.2">
      <c r="A11665" t="str">
        <f>"PANX3"</f>
        <v>PANX3</v>
      </c>
      <c r="B11665" t="s">
        <v>5</v>
      </c>
    </row>
    <row r="11666" spans="1:2" x14ac:dyDescent="0.2">
      <c r="A11666" t="str">
        <f>"PAOX"</f>
        <v>PAOX</v>
      </c>
      <c r="B11666" t="s">
        <v>2</v>
      </c>
    </row>
    <row r="11667" spans="1:2" x14ac:dyDescent="0.2">
      <c r="A11667" t="str">
        <f>"PAPD4"</f>
        <v>PAPD4</v>
      </c>
      <c r="B11667" t="s">
        <v>8</v>
      </c>
    </row>
    <row r="11668" spans="1:2" x14ac:dyDescent="0.2">
      <c r="A11668" t="str">
        <f>"PAPD5"</f>
        <v>PAPD5</v>
      </c>
      <c r="B11668" t="s">
        <v>3</v>
      </c>
    </row>
    <row r="11669" spans="1:2" x14ac:dyDescent="0.2">
      <c r="A11669" t="str">
        <f>"PAPD7"</f>
        <v>PAPD7</v>
      </c>
      <c r="B11669" t="s">
        <v>3</v>
      </c>
    </row>
    <row r="11670" spans="1:2" x14ac:dyDescent="0.2">
      <c r="A11670" t="str">
        <f>"PAPL"</f>
        <v>PAPL</v>
      </c>
      <c r="B11670" t="s">
        <v>4</v>
      </c>
    </row>
    <row r="11671" spans="1:2" x14ac:dyDescent="0.2">
      <c r="A11671" t="str">
        <f>"PAPLN"</f>
        <v>PAPLN</v>
      </c>
      <c r="B11671" t="s">
        <v>3</v>
      </c>
    </row>
    <row r="11672" spans="1:2" x14ac:dyDescent="0.2">
      <c r="A11672" t="str">
        <f>"PAPOLA"</f>
        <v>PAPOLA</v>
      </c>
      <c r="B11672" t="s">
        <v>7</v>
      </c>
    </row>
    <row r="11673" spans="1:2" x14ac:dyDescent="0.2">
      <c r="A11673" t="str">
        <f>"PAPOLB"</f>
        <v>PAPOLB</v>
      </c>
      <c r="B11673" t="s">
        <v>8</v>
      </c>
    </row>
    <row r="11674" spans="1:2" x14ac:dyDescent="0.2">
      <c r="A11674" t="str">
        <f>"PAPOLG"</f>
        <v>PAPOLG</v>
      </c>
      <c r="B11674" t="s">
        <v>8</v>
      </c>
    </row>
    <row r="11675" spans="1:2" x14ac:dyDescent="0.2">
      <c r="A11675" t="str">
        <f>"PAPPA"</f>
        <v>PAPPA</v>
      </c>
      <c r="B11675" t="s">
        <v>2</v>
      </c>
    </row>
    <row r="11676" spans="1:2" x14ac:dyDescent="0.2">
      <c r="A11676" t="str">
        <f>"PAPPA2"</f>
        <v>PAPPA2</v>
      </c>
      <c r="B11676" t="s">
        <v>2</v>
      </c>
    </row>
    <row r="11677" spans="1:2" x14ac:dyDescent="0.2">
      <c r="A11677" t="str">
        <f>"PAPSS1"</f>
        <v>PAPSS1</v>
      </c>
      <c r="B11677" t="s">
        <v>7</v>
      </c>
    </row>
    <row r="11678" spans="1:2" x14ac:dyDescent="0.2">
      <c r="A11678" t="str">
        <f>"PAPSS2"</f>
        <v>PAPSS2</v>
      </c>
      <c r="B11678" t="s">
        <v>3</v>
      </c>
    </row>
    <row r="11679" spans="1:2" x14ac:dyDescent="0.2">
      <c r="A11679" t="str">
        <f>"PAQR3"</f>
        <v>PAQR3</v>
      </c>
      <c r="B11679" t="s">
        <v>2</v>
      </c>
    </row>
    <row r="11680" spans="1:2" x14ac:dyDescent="0.2">
      <c r="A11680" t="str">
        <f>"PAQR4"</f>
        <v>PAQR4</v>
      </c>
      <c r="B11680" t="s">
        <v>5</v>
      </c>
    </row>
    <row r="11681" spans="1:2" x14ac:dyDescent="0.2">
      <c r="A11681" t="str">
        <f>"PAQR5"</f>
        <v>PAQR5</v>
      </c>
      <c r="B11681" t="s">
        <v>6</v>
      </c>
    </row>
    <row r="11682" spans="1:2" x14ac:dyDescent="0.2">
      <c r="A11682" t="str">
        <f>"PAQR6"</f>
        <v>PAQR6</v>
      </c>
      <c r="B11682" t="s">
        <v>5</v>
      </c>
    </row>
    <row r="11683" spans="1:2" x14ac:dyDescent="0.2">
      <c r="A11683" t="str">
        <f>"PAQR7"</f>
        <v>PAQR7</v>
      </c>
      <c r="B11683" t="s">
        <v>2</v>
      </c>
    </row>
    <row r="11684" spans="1:2" x14ac:dyDescent="0.2">
      <c r="A11684" t="str">
        <f>"PAQR8"</f>
        <v>PAQR8</v>
      </c>
      <c r="B11684" t="s">
        <v>6</v>
      </c>
    </row>
    <row r="11685" spans="1:2" x14ac:dyDescent="0.2">
      <c r="A11685" t="str">
        <f>"PAQR9"</f>
        <v>PAQR9</v>
      </c>
      <c r="B11685" t="s">
        <v>2</v>
      </c>
    </row>
    <row r="11686" spans="1:2" x14ac:dyDescent="0.2">
      <c r="A11686" t="str">
        <f>"PARD3"</f>
        <v>PARD3</v>
      </c>
      <c r="B11686" t="s">
        <v>3</v>
      </c>
    </row>
    <row r="11687" spans="1:2" x14ac:dyDescent="0.2">
      <c r="A11687" t="str">
        <f>"PARD3B"</f>
        <v>PARD3B</v>
      </c>
      <c r="B11687" t="s">
        <v>3</v>
      </c>
    </row>
    <row r="11688" spans="1:2" x14ac:dyDescent="0.2">
      <c r="A11688" t="str">
        <f>"PARD6A"</f>
        <v>PARD6A</v>
      </c>
      <c r="B11688" t="s">
        <v>3</v>
      </c>
    </row>
    <row r="11689" spans="1:2" x14ac:dyDescent="0.2">
      <c r="A11689" t="str">
        <f>"PARD6B"</f>
        <v>PARD6B</v>
      </c>
      <c r="B11689" t="s">
        <v>3</v>
      </c>
    </row>
    <row r="11690" spans="1:2" x14ac:dyDescent="0.2">
      <c r="A11690" t="str">
        <f>"PARD6G"</f>
        <v>PARD6G</v>
      </c>
      <c r="B11690" t="s">
        <v>3</v>
      </c>
    </row>
    <row r="11691" spans="1:2" x14ac:dyDescent="0.2">
      <c r="A11691" t="str">
        <f>"PARG"</f>
        <v>PARG</v>
      </c>
      <c r="B11691" t="s">
        <v>3</v>
      </c>
    </row>
    <row r="11692" spans="1:2" x14ac:dyDescent="0.2">
      <c r="A11692" t="str">
        <f>"PARK2"</f>
        <v>PARK2</v>
      </c>
      <c r="B11692" t="s">
        <v>3</v>
      </c>
    </row>
    <row r="11693" spans="1:2" x14ac:dyDescent="0.2">
      <c r="A11693" t="str">
        <f>"PARK7"</f>
        <v>PARK7</v>
      </c>
      <c r="B11693" t="s">
        <v>7</v>
      </c>
    </row>
    <row r="11694" spans="1:2" x14ac:dyDescent="0.2">
      <c r="A11694" t="str">
        <f>"PARL"</f>
        <v>PARL</v>
      </c>
      <c r="B11694" t="s">
        <v>6</v>
      </c>
    </row>
    <row r="11695" spans="1:2" x14ac:dyDescent="0.2">
      <c r="A11695" t="str">
        <f>"PARM1"</f>
        <v>PARM1</v>
      </c>
      <c r="B11695" t="s">
        <v>5</v>
      </c>
    </row>
    <row r="11696" spans="1:2" x14ac:dyDescent="0.2">
      <c r="A11696" t="str">
        <f>"PARN"</f>
        <v>PARN</v>
      </c>
      <c r="B11696" t="s">
        <v>8</v>
      </c>
    </row>
    <row r="11697" spans="1:2" x14ac:dyDescent="0.2">
      <c r="A11697" t="str">
        <f>"PARP1"</f>
        <v>PARP1</v>
      </c>
      <c r="B11697" t="s">
        <v>3</v>
      </c>
    </row>
    <row r="11698" spans="1:2" x14ac:dyDescent="0.2">
      <c r="A11698" t="str">
        <f>"PARP10"</f>
        <v>PARP10</v>
      </c>
      <c r="B11698" t="s">
        <v>2</v>
      </c>
    </row>
    <row r="11699" spans="1:2" x14ac:dyDescent="0.2">
      <c r="A11699" t="str">
        <f>"PARP11"</f>
        <v>PARP11</v>
      </c>
      <c r="B11699" t="s">
        <v>5</v>
      </c>
    </row>
    <row r="11700" spans="1:2" x14ac:dyDescent="0.2">
      <c r="A11700" t="str">
        <f>"PARP12"</f>
        <v>PARP12</v>
      </c>
      <c r="B11700" t="s">
        <v>8</v>
      </c>
    </row>
    <row r="11701" spans="1:2" x14ac:dyDescent="0.2">
      <c r="A11701" t="str">
        <f>"PARP14"</f>
        <v>PARP14</v>
      </c>
      <c r="B11701" t="s">
        <v>8</v>
      </c>
    </row>
    <row r="11702" spans="1:2" x14ac:dyDescent="0.2">
      <c r="A11702" t="str">
        <f>"PARP15"</f>
        <v>PARP15</v>
      </c>
      <c r="B11702" t="s">
        <v>7</v>
      </c>
    </row>
    <row r="11703" spans="1:2" x14ac:dyDescent="0.2">
      <c r="A11703" t="str">
        <f>"PARP16"</f>
        <v>PARP16</v>
      </c>
      <c r="B11703" t="s">
        <v>5</v>
      </c>
    </row>
    <row r="11704" spans="1:2" x14ac:dyDescent="0.2">
      <c r="A11704" t="str">
        <f>"PARP2"</f>
        <v>PARP2</v>
      </c>
      <c r="B11704" t="s">
        <v>3</v>
      </c>
    </row>
    <row r="11705" spans="1:2" x14ac:dyDescent="0.2">
      <c r="A11705" t="str">
        <f>"PARP3"</f>
        <v>PARP3</v>
      </c>
      <c r="B11705" t="s">
        <v>3</v>
      </c>
    </row>
    <row r="11706" spans="1:2" x14ac:dyDescent="0.2">
      <c r="A11706" t="str">
        <f>"PARP4"</f>
        <v>PARP4</v>
      </c>
      <c r="B11706" t="s">
        <v>3</v>
      </c>
    </row>
    <row r="11707" spans="1:2" x14ac:dyDescent="0.2">
      <c r="A11707" t="str">
        <f>"PARP6"</f>
        <v>PARP6</v>
      </c>
      <c r="B11707" t="s">
        <v>4</v>
      </c>
    </row>
    <row r="11708" spans="1:2" x14ac:dyDescent="0.2">
      <c r="A11708" t="str">
        <f>"PARP8"</f>
        <v>PARP8</v>
      </c>
      <c r="B11708" t="s">
        <v>4</v>
      </c>
    </row>
    <row r="11709" spans="1:2" x14ac:dyDescent="0.2">
      <c r="A11709" t="str">
        <f>"PARP9"</f>
        <v>PARP9</v>
      </c>
      <c r="B11709" t="s">
        <v>4</v>
      </c>
    </row>
    <row r="11710" spans="1:2" x14ac:dyDescent="0.2">
      <c r="A11710" t="str">
        <f>"PARPBP"</f>
        <v>PARPBP</v>
      </c>
      <c r="B11710" t="s">
        <v>8</v>
      </c>
    </row>
    <row r="11711" spans="1:2" x14ac:dyDescent="0.2">
      <c r="A11711" t="str">
        <f>"PARS2"</f>
        <v>PARS2</v>
      </c>
      <c r="B11711" t="s">
        <v>7</v>
      </c>
    </row>
    <row r="11712" spans="1:2" x14ac:dyDescent="0.2">
      <c r="A11712" t="str">
        <f>"PARVA"</f>
        <v>PARVA</v>
      </c>
      <c r="B11712" t="s">
        <v>6</v>
      </c>
    </row>
    <row r="11713" spans="1:2" x14ac:dyDescent="0.2">
      <c r="A11713" t="str">
        <f>"PARVB"</f>
        <v>PARVB</v>
      </c>
      <c r="B11713" t="s">
        <v>6</v>
      </c>
    </row>
    <row r="11714" spans="1:2" x14ac:dyDescent="0.2">
      <c r="A11714" t="str">
        <f>"PARVG"</f>
        <v>PARVG</v>
      </c>
      <c r="B11714" t="s">
        <v>6</v>
      </c>
    </row>
    <row r="11715" spans="1:2" x14ac:dyDescent="0.2">
      <c r="A11715" t="str">
        <f>"PASD1"</f>
        <v>PASD1</v>
      </c>
      <c r="B11715" t="s">
        <v>4</v>
      </c>
    </row>
    <row r="11716" spans="1:2" x14ac:dyDescent="0.2">
      <c r="A11716" t="str">
        <f>"PASK"</f>
        <v>PASK</v>
      </c>
      <c r="B11716" t="s">
        <v>7</v>
      </c>
    </row>
    <row r="11717" spans="1:2" x14ac:dyDescent="0.2">
      <c r="A11717" t="str">
        <f>"PATE1"</f>
        <v>PATE1</v>
      </c>
      <c r="B11717" t="s">
        <v>2</v>
      </c>
    </row>
    <row r="11718" spans="1:2" x14ac:dyDescent="0.2">
      <c r="A11718" t="str">
        <f>"PATE2"</f>
        <v>PATE2</v>
      </c>
      <c r="B11718" t="s">
        <v>4</v>
      </c>
    </row>
    <row r="11719" spans="1:2" x14ac:dyDescent="0.2">
      <c r="A11719" t="str">
        <f>"PATE3"</f>
        <v>PATE3</v>
      </c>
      <c r="B11719" t="s">
        <v>4</v>
      </c>
    </row>
    <row r="11720" spans="1:2" x14ac:dyDescent="0.2">
      <c r="A11720" t="str">
        <f>"PATE4"</f>
        <v>PATE4</v>
      </c>
      <c r="B11720" t="s">
        <v>4</v>
      </c>
    </row>
    <row r="11721" spans="1:2" x14ac:dyDescent="0.2">
      <c r="A11721" t="str">
        <f>"PATL1"</f>
        <v>PATL1</v>
      </c>
      <c r="B11721" t="s">
        <v>4</v>
      </c>
    </row>
    <row r="11722" spans="1:2" x14ac:dyDescent="0.2">
      <c r="A11722" t="str">
        <f>"PATL2"</f>
        <v>PATL2</v>
      </c>
      <c r="B11722" t="s">
        <v>4</v>
      </c>
    </row>
    <row r="11723" spans="1:2" x14ac:dyDescent="0.2">
      <c r="A11723" t="str">
        <f>"PATZ1"</f>
        <v>PATZ1</v>
      </c>
      <c r="B11723" t="s">
        <v>3</v>
      </c>
    </row>
    <row r="11724" spans="1:2" x14ac:dyDescent="0.2">
      <c r="A11724" t="str">
        <f>"PAWR"</f>
        <v>PAWR</v>
      </c>
      <c r="B11724" t="s">
        <v>8</v>
      </c>
    </row>
    <row r="11725" spans="1:2" x14ac:dyDescent="0.2">
      <c r="A11725" t="str">
        <f>"PAX1"</f>
        <v>PAX1</v>
      </c>
      <c r="B11725" t="s">
        <v>8</v>
      </c>
    </row>
    <row r="11726" spans="1:2" x14ac:dyDescent="0.2">
      <c r="A11726" t="str">
        <f>"PAX2"</f>
        <v>PAX2</v>
      </c>
      <c r="B11726" t="s">
        <v>3</v>
      </c>
    </row>
    <row r="11727" spans="1:2" x14ac:dyDescent="0.2">
      <c r="A11727" t="str">
        <f>"PAX3"</f>
        <v>PAX3</v>
      </c>
      <c r="B11727" t="s">
        <v>3</v>
      </c>
    </row>
    <row r="11728" spans="1:2" x14ac:dyDescent="0.2">
      <c r="A11728" t="str">
        <f>"PAX4"</f>
        <v>PAX4</v>
      </c>
      <c r="B11728" t="s">
        <v>8</v>
      </c>
    </row>
    <row r="11729" spans="1:2" x14ac:dyDescent="0.2">
      <c r="A11729" t="str">
        <f>"PAX5"</f>
        <v>PAX5</v>
      </c>
      <c r="B11729" t="s">
        <v>3</v>
      </c>
    </row>
    <row r="11730" spans="1:2" x14ac:dyDescent="0.2">
      <c r="A11730" t="str">
        <f>"PAX6"</f>
        <v>PAX6</v>
      </c>
      <c r="B11730" t="s">
        <v>2</v>
      </c>
    </row>
    <row r="11731" spans="1:2" x14ac:dyDescent="0.2">
      <c r="A11731" t="str">
        <f>"PAX7"</f>
        <v>PAX7</v>
      </c>
      <c r="B11731" t="s">
        <v>3</v>
      </c>
    </row>
    <row r="11732" spans="1:2" x14ac:dyDescent="0.2">
      <c r="A11732" t="str">
        <f>"PAX8"</f>
        <v>PAX8</v>
      </c>
      <c r="B11732" t="s">
        <v>3</v>
      </c>
    </row>
    <row r="11733" spans="1:2" x14ac:dyDescent="0.2">
      <c r="A11733" t="str">
        <f>"PAX9"</f>
        <v>PAX9</v>
      </c>
      <c r="B11733" t="s">
        <v>6</v>
      </c>
    </row>
    <row r="11734" spans="1:2" x14ac:dyDescent="0.2">
      <c r="A11734" t="str">
        <f>"PAXBP1"</f>
        <v>PAXBP1</v>
      </c>
      <c r="B11734" t="s">
        <v>8</v>
      </c>
    </row>
    <row r="11735" spans="1:2" x14ac:dyDescent="0.2">
      <c r="A11735" t="str">
        <f>"PAXIP1"</f>
        <v>PAXIP1</v>
      </c>
      <c r="B11735" t="s">
        <v>3</v>
      </c>
    </row>
    <row r="11736" spans="1:2" x14ac:dyDescent="0.2">
      <c r="A11736" t="str">
        <f>"PBDC1"</f>
        <v>PBDC1</v>
      </c>
      <c r="B11736" t="s">
        <v>8</v>
      </c>
    </row>
    <row r="11737" spans="1:2" x14ac:dyDescent="0.2">
      <c r="A11737" t="str">
        <f>"PBK"</f>
        <v>PBK</v>
      </c>
      <c r="B11737" t="s">
        <v>7</v>
      </c>
    </row>
    <row r="11738" spans="1:2" x14ac:dyDescent="0.2">
      <c r="A11738" t="str">
        <f>"PBLD"</f>
        <v>PBLD</v>
      </c>
      <c r="B11738" t="s">
        <v>4</v>
      </c>
    </row>
    <row r="11739" spans="1:2" x14ac:dyDescent="0.2">
      <c r="A11739" t="str">
        <f>"PBOV1"</f>
        <v>PBOV1</v>
      </c>
      <c r="B11739" t="s">
        <v>4</v>
      </c>
    </row>
    <row r="11740" spans="1:2" x14ac:dyDescent="0.2">
      <c r="A11740" t="str">
        <f>"PBRM1"</f>
        <v>PBRM1</v>
      </c>
      <c r="B11740" t="s">
        <v>6</v>
      </c>
    </row>
    <row r="11741" spans="1:2" x14ac:dyDescent="0.2">
      <c r="A11741" t="str">
        <f>"PBX1"</f>
        <v>PBX1</v>
      </c>
      <c r="B11741" t="s">
        <v>3</v>
      </c>
    </row>
    <row r="11742" spans="1:2" x14ac:dyDescent="0.2">
      <c r="A11742" t="str">
        <f>"PBX2"</f>
        <v>PBX2</v>
      </c>
      <c r="B11742" t="s">
        <v>8</v>
      </c>
    </row>
    <row r="11743" spans="1:2" x14ac:dyDescent="0.2">
      <c r="A11743" t="str">
        <f>"PBX3"</f>
        <v>PBX3</v>
      </c>
      <c r="B11743" t="s">
        <v>8</v>
      </c>
    </row>
    <row r="11744" spans="1:2" x14ac:dyDescent="0.2">
      <c r="A11744" t="str">
        <f>"PBX4"</f>
        <v>PBX4</v>
      </c>
      <c r="B11744" t="s">
        <v>6</v>
      </c>
    </row>
    <row r="11745" spans="1:2" x14ac:dyDescent="0.2">
      <c r="A11745" t="str">
        <f>"PBXIP1"</f>
        <v>PBXIP1</v>
      </c>
      <c r="B11745" t="s">
        <v>6</v>
      </c>
    </row>
    <row r="11746" spans="1:2" x14ac:dyDescent="0.2">
      <c r="A11746" t="str">
        <f>"PC"</f>
        <v>PC</v>
      </c>
      <c r="B11746" t="s">
        <v>3</v>
      </c>
    </row>
    <row r="11747" spans="1:2" x14ac:dyDescent="0.2">
      <c r="A11747" t="str">
        <f>"PCBD1"</f>
        <v>PCBD1</v>
      </c>
      <c r="B11747" t="s">
        <v>7</v>
      </c>
    </row>
    <row r="11748" spans="1:2" x14ac:dyDescent="0.2">
      <c r="A11748" t="str">
        <f>"PCBD2"</f>
        <v>PCBD2</v>
      </c>
      <c r="B11748" t="s">
        <v>6</v>
      </c>
    </row>
    <row r="11749" spans="1:2" x14ac:dyDescent="0.2">
      <c r="A11749" t="str">
        <f>"PCBP1"</f>
        <v>PCBP1</v>
      </c>
      <c r="B11749" t="s">
        <v>3</v>
      </c>
    </row>
    <row r="11750" spans="1:2" x14ac:dyDescent="0.2">
      <c r="A11750" t="str">
        <f>"PCBP2"</f>
        <v>PCBP2</v>
      </c>
      <c r="B11750" t="s">
        <v>6</v>
      </c>
    </row>
    <row r="11751" spans="1:2" x14ac:dyDescent="0.2">
      <c r="A11751" t="str">
        <f>"PCBP3"</f>
        <v>PCBP3</v>
      </c>
      <c r="B11751" t="s">
        <v>6</v>
      </c>
    </row>
    <row r="11752" spans="1:2" x14ac:dyDescent="0.2">
      <c r="A11752" t="str">
        <f>"PCBP4"</f>
        <v>PCBP4</v>
      </c>
      <c r="B11752" t="s">
        <v>3</v>
      </c>
    </row>
    <row r="11753" spans="1:2" x14ac:dyDescent="0.2">
      <c r="A11753" t="str">
        <f>"PCCA"</f>
        <v>PCCA</v>
      </c>
      <c r="B11753" t="s">
        <v>3</v>
      </c>
    </row>
    <row r="11754" spans="1:2" x14ac:dyDescent="0.2">
      <c r="A11754" t="str">
        <f>"PCCB"</f>
        <v>PCCB</v>
      </c>
      <c r="B11754" t="s">
        <v>7</v>
      </c>
    </row>
    <row r="11755" spans="1:2" x14ac:dyDescent="0.2">
      <c r="A11755" t="str">
        <f>"PCDH1"</f>
        <v>PCDH1</v>
      </c>
      <c r="B11755" t="s">
        <v>8</v>
      </c>
    </row>
    <row r="11756" spans="1:2" x14ac:dyDescent="0.2">
      <c r="A11756" t="str">
        <f>"PCDH10"</f>
        <v>PCDH10</v>
      </c>
      <c r="B11756" t="s">
        <v>5</v>
      </c>
    </row>
    <row r="11757" spans="1:2" x14ac:dyDescent="0.2">
      <c r="A11757" t="str">
        <f>"PCDH11X"</f>
        <v>PCDH11X</v>
      </c>
      <c r="B11757" t="s">
        <v>5</v>
      </c>
    </row>
    <row r="11758" spans="1:2" x14ac:dyDescent="0.2">
      <c r="A11758" t="str">
        <f>"PCDH11Y"</f>
        <v>PCDH11Y</v>
      </c>
      <c r="B11758" t="s">
        <v>5</v>
      </c>
    </row>
    <row r="11759" spans="1:2" x14ac:dyDescent="0.2">
      <c r="A11759" t="str">
        <f>"PCDH12"</f>
        <v>PCDH12</v>
      </c>
      <c r="B11759" t="s">
        <v>5</v>
      </c>
    </row>
    <row r="11760" spans="1:2" x14ac:dyDescent="0.2">
      <c r="A11760" t="str">
        <f>"PCDH15"</f>
        <v>PCDH15</v>
      </c>
      <c r="B11760" t="s">
        <v>5</v>
      </c>
    </row>
    <row r="11761" spans="1:2" x14ac:dyDescent="0.2">
      <c r="A11761" t="str">
        <f>"PCDH17"</f>
        <v>PCDH17</v>
      </c>
      <c r="B11761" t="s">
        <v>2</v>
      </c>
    </row>
    <row r="11762" spans="1:2" x14ac:dyDescent="0.2">
      <c r="A11762" t="str">
        <f>"PCDH18"</f>
        <v>PCDH18</v>
      </c>
      <c r="B11762" t="s">
        <v>5</v>
      </c>
    </row>
    <row r="11763" spans="1:2" x14ac:dyDescent="0.2">
      <c r="A11763" t="str">
        <f>"PCDH19"</f>
        <v>PCDH19</v>
      </c>
      <c r="B11763" t="s">
        <v>5</v>
      </c>
    </row>
    <row r="11764" spans="1:2" x14ac:dyDescent="0.2">
      <c r="A11764" t="str">
        <f>"PCDH20"</f>
        <v>PCDH20</v>
      </c>
      <c r="B11764" t="s">
        <v>5</v>
      </c>
    </row>
    <row r="11765" spans="1:2" x14ac:dyDescent="0.2">
      <c r="A11765" t="str">
        <f>"PCDH7"</f>
        <v>PCDH7</v>
      </c>
      <c r="B11765" t="s">
        <v>5</v>
      </c>
    </row>
    <row r="11766" spans="1:2" x14ac:dyDescent="0.2">
      <c r="A11766" t="str">
        <f>"PCDH8"</f>
        <v>PCDH8</v>
      </c>
      <c r="B11766" t="s">
        <v>5</v>
      </c>
    </row>
    <row r="11767" spans="1:2" x14ac:dyDescent="0.2">
      <c r="A11767" t="str">
        <f>"PCDH9"</f>
        <v>PCDH9</v>
      </c>
      <c r="B11767" t="s">
        <v>5</v>
      </c>
    </row>
    <row r="11768" spans="1:2" x14ac:dyDescent="0.2">
      <c r="A11768" t="str">
        <f>"PCDHA1"</f>
        <v>PCDHA1</v>
      </c>
      <c r="B11768" t="s">
        <v>4</v>
      </c>
    </row>
    <row r="11769" spans="1:2" x14ac:dyDescent="0.2">
      <c r="A11769" t="str">
        <f>"PCDHA10"</f>
        <v>PCDHA10</v>
      </c>
      <c r="B11769" t="s">
        <v>4</v>
      </c>
    </row>
    <row r="11770" spans="1:2" x14ac:dyDescent="0.2">
      <c r="A11770" t="str">
        <f>"PCDHA11"</f>
        <v>PCDHA11</v>
      </c>
      <c r="B11770" t="s">
        <v>4</v>
      </c>
    </row>
    <row r="11771" spans="1:2" x14ac:dyDescent="0.2">
      <c r="A11771" t="str">
        <f>"PCDHA12"</f>
        <v>PCDHA12</v>
      </c>
      <c r="B11771" t="s">
        <v>4</v>
      </c>
    </row>
    <row r="11772" spans="1:2" x14ac:dyDescent="0.2">
      <c r="A11772" t="str">
        <f>"PCDHA13"</f>
        <v>PCDHA13</v>
      </c>
      <c r="B11772" t="s">
        <v>4</v>
      </c>
    </row>
    <row r="11773" spans="1:2" x14ac:dyDescent="0.2">
      <c r="A11773" t="str">
        <f>"PCDHA2"</f>
        <v>PCDHA2</v>
      </c>
      <c r="B11773" t="s">
        <v>4</v>
      </c>
    </row>
    <row r="11774" spans="1:2" x14ac:dyDescent="0.2">
      <c r="A11774" t="str">
        <f>"PCDHA3"</f>
        <v>PCDHA3</v>
      </c>
      <c r="B11774" t="s">
        <v>4</v>
      </c>
    </row>
    <row r="11775" spans="1:2" x14ac:dyDescent="0.2">
      <c r="A11775" t="str">
        <f>"PCDHA4"</f>
        <v>PCDHA4</v>
      </c>
      <c r="B11775" t="s">
        <v>4</v>
      </c>
    </row>
    <row r="11776" spans="1:2" x14ac:dyDescent="0.2">
      <c r="A11776" t="str">
        <f>"PCDHA5"</f>
        <v>PCDHA5</v>
      </c>
      <c r="B11776" t="s">
        <v>4</v>
      </c>
    </row>
    <row r="11777" spans="1:2" x14ac:dyDescent="0.2">
      <c r="A11777" t="str">
        <f>"PCDHA6"</f>
        <v>PCDHA6</v>
      </c>
      <c r="B11777" t="s">
        <v>4</v>
      </c>
    </row>
    <row r="11778" spans="1:2" x14ac:dyDescent="0.2">
      <c r="A11778" t="str">
        <f>"PCDHA7"</f>
        <v>PCDHA7</v>
      </c>
      <c r="B11778" t="s">
        <v>4</v>
      </c>
    </row>
    <row r="11779" spans="1:2" x14ac:dyDescent="0.2">
      <c r="A11779" t="str">
        <f>"PCDHA8"</f>
        <v>PCDHA8</v>
      </c>
      <c r="B11779" t="s">
        <v>4</v>
      </c>
    </row>
    <row r="11780" spans="1:2" x14ac:dyDescent="0.2">
      <c r="A11780" t="str">
        <f>"PCDHA9"</f>
        <v>PCDHA9</v>
      </c>
      <c r="B11780" t="s">
        <v>3</v>
      </c>
    </row>
    <row r="11781" spans="1:2" x14ac:dyDescent="0.2">
      <c r="A11781" t="str">
        <f>"PCDHAC1"</f>
        <v>PCDHAC1</v>
      </c>
      <c r="B11781" t="s">
        <v>4</v>
      </c>
    </row>
    <row r="11782" spans="1:2" x14ac:dyDescent="0.2">
      <c r="A11782" t="str">
        <f>"PCDHAC2"</f>
        <v>PCDHAC2</v>
      </c>
      <c r="B11782" t="s">
        <v>5</v>
      </c>
    </row>
    <row r="11783" spans="1:2" x14ac:dyDescent="0.2">
      <c r="A11783" t="str">
        <f>"PCDHB1"</f>
        <v>PCDHB1</v>
      </c>
      <c r="B11783" t="s">
        <v>5</v>
      </c>
    </row>
    <row r="11784" spans="1:2" x14ac:dyDescent="0.2">
      <c r="A11784" t="str">
        <f>"PCDHB10"</f>
        <v>PCDHB10</v>
      </c>
      <c r="B11784" t="s">
        <v>5</v>
      </c>
    </row>
    <row r="11785" spans="1:2" x14ac:dyDescent="0.2">
      <c r="A11785" t="str">
        <f>"PCDHB11"</f>
        <v>PCDHB11</v>
      </c>
      <c r="B11785" t="s">
        <v>5</v>
      </c>
    </row>
    <row r="11786" spans="1:2" x14ac:dyDescent="0.2">
      <c r="A11786" t="str">
        <f>"PCDHB12"</f>
        <v>PCDHB12</v>
      </c>
      <c r="B11786" t="s">
        <v>5</v>
      </c>
    </row>
    <row r="11787" spans="1:2" x14ac:dyDescent="0.2">
      <c r="A11787" t="str">
        <f>"PCDHB13"</f>
        <v>PCDHB13</v>
      </c>
      <c r="B11787" t="s">
        <v>8</v>
      </c>
    </row>
    <row r="11788" spans="1:2" x14ac:dyDescent="0.2">
      <c r="A11788" t="str">
        <f>"PCDHB14"</f>
        <v>PCDHB14</v>
      </c>
      <c r="B11788" t="s">
        <v>5</v>
      </c>
    </row>
    <row r="11789" spans="1:2" x14ac:dyDescent="0.2">
      <c r="A11789" t="str">
        <f>"PCDHB15"</f>
        <v>PCDHB15</v>
      </c>
      <c r="B11789" t="s">
        <v>5</v>
      </c>
    </row>
    <row r="11790" spans="1:2" x14ac:dyDescent="0.2">
      <c r="A11790" t="str">
        <f>"PCDHB16"</f>
        <v>PCDHB16</v>
      </c>
      <c r="B11790" t="s">
        <v>5</v>
      </c>
    </row>
    <row r="11791" spans="1:2" x14ac:dyDescent="0.2">
      <c r="A11791" t="str">
        <f>"PCDHB2"</f>
        <v>PCDHB2</v>
      </c>
      <c r="B11791" t="s">
        <v>5</v>
      </c>
    </row>
    <row r="11792" spans="1:2" x14ac:dyDescent="0.2">
      <c r="A11792" t="str">
        <f>"PCDHB3"</f>
        <v>PCDHB3</v>
      </c>
      <c r="B11792" t="s">
        <v>5</v>
      </c>
    </row>
    <row r="11793" spans="1:2" x14ac:dyDescent="0.2">
      <c r="A11793" t="str">
        <f>"PCDHB4"</f>
        <v>PCDHB4</v>
      </c>
      <c r="B11793" t="s">
        <v>5</v>
      </c>
    </row>
    <row r="11794" spans="1:2" x14ac:dyDescent="0.2">
      <c r="A11794" t="str">
        <f>"PCDHB5"</f>
        <v>PCDHB5</v>
      </c>
      <c r="B11794" t="s">
        <v>5</v>
      </c>
    </row>
    <row r="11795" spans="1:2" x14ac:dyDescent="0.2">
      <c r="A11795" t="str">
        <f>"PCDHB6"</f>
        <v>PCDHB6</v>
      </c>
      <c r="B11795" t="s">
        <v>5</v>
      </c>
    </row>
    <row r="11796" spans="1:2" x14ac:dyDescent="0.2">
      <c r="A11796" t="str">
        <f>"PCDHB7"</f>
        <v>PCDHB7</v>
      </c>
      <c r="B11796" t="s">
        <v>5</v>
      </c>
    </row>
    <row r="11797" spans="1:2" x14ac:dyDescent="0.2">
      <c r="A11797" t="str">
        <f>"PCDHB8"</f>
        <v>PCDHB8</v>
      </c>
      <c r="B11797" t="s">
        <v>5</v>
      </c>
    </row>
    <row r="11798" spans="1:2" x14ac:dyDescent="0.2">
      <c r="A11798" t="str">
        <f>"PCDHB9"</f>
        <v>PCDHB9</v>
      </c>
      <c r="B11798" t="s">
        <v>5</v>
      </c>
    </row>
    <row r="11799" spans="1:2" x14ac:dyDescent="0.2">
      <c r="A11799" t="str">
        <f>"PCDHGA1"</f>
        <v>PCDHGA1</v>
      </c>
      <c r="B11799" t="s">
        <v>4</v>
      </c>
    </row>
    <row r="11800" spans="1:2" x14ac:dyDescent="0.2">
      <c r="A11800" t="str">
        <f>"PCDHGA10"</f>
        <v>PCDHGA10</v>
      </c>
      <c r="B11800" t="s">
        <v>4</v>
      </c>
    </row>
    <row r="11801" spans="1:2" x14ac:dyDescent="0.2">
      <c r="A11801" t="str">
        <f>"PCDHGA11"</f>
        <v>PCDHGA11</v>
      </c>
      <c r="B11801" t="s">
        <v>4</v>
      </c>
    </row>
    <row r="11802" spans="1:2" x14ac:dyDescent="0.2">
      <c r="A11802" t="str">
        <f>"PCDHGA12"</f>
        <v>PCDHGA12</v>
      </c>
      <c r="B11802" t="s">
        <v>4</v>
      </c>
    </row>
    <row r="11803" spans="1:2" x14ac:dyDescent="0.2">
      <c r="A11803" t="str">
        <f>"PCDHGA2"</f>
        <v>PCDHGA2</v>
      </c>
      <c r="B11803" t="s">
        <v>4</v>
      </c>
    </row>
    <row r="11804" spans="1:2" x14ac:dyDescent="0.2">
      <c r="A11804" t="str">
        <f>"PCDHGA3"</f>
        <v>PCDHGA3</v>
      </c>
      <c r="B11804" t="s">
        <v>4</v>
      </c>
    </row>
    <row r="11805" spans="1:2" x14ac:dyDescent="0.2">
      <c r="A11805" t="str">
        <f>"PCDHGA4"</f>
        <v>PCDHGA4</v>
      </c>
      <c r="B11805" t="s">
        <v>4</v>
      </c>
    </row>
    <row r="11806" spans="1:2" x14ac:dyDescent="0.2">
      <c r="A11806" t="str">
        <f>"PCDHGA5"</f>
        <v>PCDHGA5</v>
      </c>
      <c r="B11806" t="s">
        <v>4</v>
      </c>
    </row>
    <row r="11807" spans="1:2" x14ac:dyDescent="0.2">
      <c r="A11807" t="str">
        <f>"PCDHGA6"</f>
        <v>PCDHGA6</v>
      </c>
      <c r="B11807" t="s">
        <v>4</v>
      </c>
    </row>
    <row r="11808" spans="1:2" x14ac:dyDescent="0.2">
      <c r="A11808" t="str">
        <f>"PCDHGA7"</f>
        <v>PCDHGA7</v>
      </c>
      <c r="B11808" t="s">
        <v>4</v>
      </c>
    </row>
    <row r="11809" spans="1:2" x14ac:dyDescent="0.2">
      <c r="A11809" t="str">
        <f>"PCDHGA8"</f>
        <v>PCDHGA8</v>
      </c>
      <c r="B11809" t="s">
        <v>4</v>
      </c>
    </row>
    <row r="11810" spans="1:2" x14ac:dyDescent="0.2">
      <c r="A11810" t="str">
        <f>"PCDHGA9"</f>
        <v>PCDHGA9</v>
      </c>
      <c r="B11810" t="s">
        <v>4</v>
      </c>
    </row>
    <row r="11811" spans="1:2" x14ac:dyDescent="0.2">
      <c r="A11811" t="str">
        <f>"PCDHGB1"</f>
        <v>PCDHGB1</v>
      </c>
      <c r="B11811" t="s">
        <v>4</v>
      </c>
    </row>
    <row r="11812" spans="1:2" x14ac:dyDescent="0.2">
      <c r="A11812" t="str">
        <f>"PCDHGB2"</f>
        <v>PCDHGB2</v>
      </c>
      <c r="B11812" t="s">
        <v>4</v>
      </c>
    </row>
    <row r="11813" spans="1:2" x14ac:dyDescent="0.2">
      <c r="A11813" t="str">
        <f>"PCDHGB3"</f>
        <v>PCDHGB3</v>
      </c>
      <c r="B11813" t="s">
        <v>4</v>
      </c>
    </row>
    <row r="11814" spans="1:2" x14ac:dyDescent="0.2">
      <c r="A11814" t="str">
        <f>"PCDHGB4"</f>
        <v>PCDHGB4</v>
      </c>
      <c r="B11814" t="s">
        <v>4</v>
      </c>
    </row>
    <row r="11815" spans="1:2" x14ac:dyDescent="0.2">
      <c r="A11815" t="str">
        <f>"PCDHGB5"</f>
        <v>PCDHGB5</v>
      </c>
      <c r="B11815" t="s">
        <v>4</v>
      </c>
    </row>
    <row r="11816" spans="1:2" x14ac:dyDescent="0.2">
      <c r="A11816" t="str">
        <f>"PCDHGB6"</f>
        <v>PCDHGB6</v>
      </c>
      <c r="B11816" t="s">
        <v>6</v>
      </c>
    </row>
    <row r="11817" spans="1:2" x14ac:dyDescent="0.2">
      <c r="A11817" t="str">
        <f>"PCDHGB7"</f>
        <v>PCDHGB7</v>
      </c>
      <c r="B11817" t="s">
        <v>4</v>
      </c>
    </row>
    <row r="11818" spans="1:2" x14ac:dyDescent="0.2">
      <c r="A11818" t="str">
        <f>"PCDHGC3"</f>
        <v>PCDHGC3</v>
      </c>
      <c r="B11818" t="s">
        <v>6</v>
      </c>
    </row>
    <row r="11819" spans="1:2" x14ac:dyDescent="0.2">
      <c r="A11819" t="str">
        <f>"PCDHGC4"</f>
        <v>PCDHGC4</v>
      </c>
      <c r="B11819" t="s">
        <v>2</v>
      </c>
    </row>
    <row r="11820" spans="1:2" x14ac:dyDescent="0.2">
      <c r="A11820" t="str">
        <f>"PCDHGC5"</f>
        <v>PCDHGC5</v>
      </c>
      <c r="B11820" t="s">
        <v>5</v>
      </c>
    </row>
    <row r="11821" spans="1:2" x14ac:dyDescent="0.2">
      <c r="A11821" t="str">
        <f>"PCDP1"</f>
        <v>PCDP1</v>
      </c>
      <c r="B11821" t="s">
        <v>4</v>
      </c>
    </row>
    <row r="11822" spans="1:2" x14ac:dyDescent="0.2">
      <c r="A11822" t="str">
        <f>"PCED1A"</f>
        <v>PCED1A</v>
      </c>
      <c r="B11822" t="s">
        <v>4</v>
      </c>
    </row>
    <row r="11823" spans="1:2" x14ac:dyDescent="0.2">
      <c r="A11823" t="str">
        <f>"PCED1B"</f>
        <v>PCED1B</v>
      </c>
      <c r="B11823" t="s">
        <v>4</v>
      </c>
    </row>
    <row r="11824" spans="1:2" x14ac:dyDescent="0.2">
      <c r="A11824" t="str">
        <f>"PCF11"</f>
        <v>PCF11</v>
      </c>
      <c r="B11824" t="s">
        <v>4</v>
      </c>
    </row>
    <row r="11825" spans="1:2" x14ac:dyDescent="0.2">
      <c r="A11825" t="str">
        <f>"PCGF1"</f>
        <v>PCGF1</v>
      </c>
      <c r="B11825" t="s">
        <v>2</v>
      </c>
    </row>
    <row r="11826" spans="1:2" x14ac:dyDescent="0.2">
      <c r="A11826" t="str">
        <f>"PCGF2"</f>
        <v>PCGF2</v>
      </c>
      <c r="B11826" t="s">
        <v>2</v>
      </c>
    </row>
    <row r="11827" spans="1:2" x14ac:dyDescent="0.2">
      <c r="A11827" t="str">
        <f>"PCGF3"</f>
        <v>PCGF3</v>
      </c>
      <c r="B11827" t="s">
        <v>2</v>
      </c>
    </row>
    <row r="11828" spans="1:2" x14ac:dyDescent="0.2">
      <c r="A11828" t="str">
        <f>"PCGF5"</f>
        <v>PCGF5</v>
      </c>
      <c r="B11828" t="s">
        <v>3</v>
      </c>
    </row>
    <row r="11829" spans="1:2" x14ac:dyDescent="0.2">
      <c r="A11829" t="str">
        <f>"PCGF6"</f>
        <v>PCGF6</v>
      </c>
      <c r="B11829" t="s">
        <v>2</v>
      </c>
    </row>
    <row r="11830" spans="1:2" x14ac:dyDescent="0.2">
      <c r="A11830" t="str">
        <f>"PCID2"</f>
        <v>PCID2</v>
      </c>
      <c r="B11830" t="s">
        <v>3</v>
      </c>
    </row>
    <row r="11831" spans="1:2" x14ac:dyDescent="0.2">
      <c r="A11831" t="str">
        <f>"PCIF1"</f>
        <v>PCIF1</v>
      </c>
      <c r="B11831" t="s">
        <v>4</v>
      </c>
    </row>
    <row r="11832" spans="1:2" x14ac:dyDescent="0.2">
      <c r="A11832" t="str">
        <f>"PCK1"</f>
        <v>PCK1</v>
      </c>
      <c r="B11832" t="s">
        <v>7</v>
      </c>
    </row>
    <row r="11833" spans="1:2" x14ac:dyDescent="0.2">
      <c r="A11833" t="str">
        <f>"PCK2"</f>
        <v>PCK2</v>
      </c>
      <c r="B11833" t="s">
        <v>6</v>
      </c>
    </row>
    <row r="11834" spans="1:2" x14ac:dyDescent="0.2">
      <c r="A11834" t="str">
        <f>"PCLO"</f>
        <v>PCLO</v>
      </c>
      <c r="B11834" t="s">
        <v>2</v>
      </c>
    </row>
    <row r="11835" spans="1:2" x14ac:dyDescent="0.2">
      <c r="A11835" t="str">
        <f>"PCM1"</f>
        <v>PCM1</v>
      </c>
      <c r="B11835" t="s">
        <v>3</v>
      </c>
    </row>
    <row r="11836" spans="1:2" x14ac:dyDescent="0.2">
      <c r="A11836" t="str">
        <f>"PCMT1"</f>
        <v>PCMT1</v>
      </c>
      <c r="B11836" t="s">
        <v>7</v>
      </c>
    </row>
    <row r="11837" spans="1:2" x14ac:dyDescent="0.2">
      <c r="A11837" t="str">
        <f>"PCMTD1"</f>
        <v>PCMTD1</v>
      </c>
      <c r="B11837" t="s">
        <v>4</v>
      </c>
    </row>
    <row r="11838" spans="1:2" x14ac:dyDescent="0.2">
      <c r="A11838" t="str">
        <f>"PCMTD2"</f>
        <v>PCMTD2</v>
      </c>
      <c r="B11838" t="s">
        <v>4</v>
      </c>
    </row>
    <row r="11839" spans="1:2" x14ac:dyDescent="0.2">
      <c r="A11839" t="str">
        <f>"PCNA"</f>
        <v>PCNA</v>
      </c>
      <c r="B11839" t="s">
        <v>3</v>
      </c>
    </row>
    <row r="11840" spans="1:2" x14ac:dyDescent="0.2">
      <c r="A11840" t="str">
        <f>"PCNP"</f>
        <v>PCNP</v>
      </c>
      <c r="B11840" t="s">
        <v>3</v>
      </c>
    </row>
    <row r="11841" spans="1:2" x14ac:dyDescent="0.2">
      <c r="A11841" t="str">
        <f>"PCNT"</f>
        <v>PCNT</v>
      </c>
      <c r="B11841" t="s">
        <v>3</v>
      </c>
    </row>
    <row r="11842" spans="1:2" x14ac:dyDescent="0.2">
      <c r="A11842" t="str">
        <f>"PCNX"</f>
        <v>PCNX</v>
      </c>
      <c r="B11842" t="s">
        <v>5</v>
      </c>
    </row>
    <row r="11843" spans="1:2" x14ac:dyDescent="0.2">
      <c r="A11843" t="str">
        <f>"PCNXL2"</f>
        <v>PCNXL2</v>
      </c>
      <c r="B11843" t="s">
        <v>5</v>
      </c>
    </row>
    <row r="11844" spans="1:2" x14ac:dyDescent="0.2">
      <c r="A11844" t="str">
        <f>"PCNXL3"</f>
        <v>PCNXL3</v>
      </c>
      <c r="B11844" t="s">
        <v>5</v>
      </c>
    </row>
    <row r="11845" spans="1:2" x14ac:dyDescent="0.2">
      <c r="A11845" t="str">
        <f>"PCNXL4"</f>
        <v>PCNXL4</v>
      </c>
      <c r="B11845" t="s">
        <v>3</v>
      </c>
    </row>
    <row r="11846" spans="1:2" x14ac:dyDescent="0.2">
      <c r="A11846" t="str">
        <f>"PCOLCE"</f>
        <v>PCOLCE</v>
      </c>
      <c r="B11846" t="s">
        <v>2</v>
      </c>
    </row>
    <row r="11847" spans="1:2" x14ac:dyDescent="0.2">
      <c r="A11847" t="str">
        <f>"PCOLCE2"</f>
        <v>PCOLCE2</v>
      </c>
      <c r="B11847" t="s">
        <v>3</v>
      </c>
    </row>
    <row r="11848" spans="1:2" x14ac:dyDescent="0.2">
      <c r="A11848" t="str">
        <f>"PCP2"</f>
        <v>PCP2</v>
      </c>
      <c r="B11848" t="s">
        <v>6</v>
      </c>
    </row>
    <row r="11849" spans="1:2" x14ac:dyDescent="0.2">
      <c r="A11849" t="str">
        <f>"PCP4"</f>
        <v>PCP4</v>
      </c>
      <c r="B11849" t="s">
        <v>3</v>
      </c>
    </row>
    <row r="11850" spans="1:2" x14ac:dyDescent="0.2">
      <c r="A11850" t="str">
        <f>"PCP4L1"</f>
        <v>PCP4L1</v>
      </c>
      <c r="B11850" t="s">
        <v>4</v>
      </c>
    </row>
    <row r="11851" spans="1:2" x14ac:dyDescent="0.2">
      <c r="A11851" t="str">
        <f>"PCSK1"</f>
        <v>PCSK1</v>
      </c>
      <c r="B11851" t="s">
        <v>7</v>
      </c>
    </row>
    <row r="11852" spans="1:2" x14ac:dyDescent="0.2">
      <c r="A11852" t="str">
        <f>"PCSK1N"</f>
        <v>PCSK1N</v>
      </c>
      <c r="B11852" t="s">
        <v>2</v>
      </c>
    </row>
    <row r="11853" spans="1:2" x14ac:dyDescent="0.2">
      <c r="A11853" t="str">
        <f>"PCSK2"</f>
        <v>PCSK2</v>
      </c>
      <c r="B11853" t="s">
        <v>7</v>
      </c>
    </row>
    <row r="11854" spans="1:2" x14ac:dyDescent="0.2">
      <c r="A11854" t="str">
        <f>"PCSK4"</f>
        <v>PCSK4</v>
      </c>
      <c r="B11854" t="s">
        <v>2</v>
      </c>
    </row>
    <row r="11855" spans="1:2" x14ac:dyDescent="0.2">
      <c r="A11855" t="str">
        <f>"PCSK5"</f>
        <v>PCSK5</v>
      </c>
      <c r="B11855" t="s">
        <v>2</v>
      </c>
    </row>
    <row r="11856" spans="1:2" x14ac:dyDescent="0.2">
      <c r="A11856" t="str">
        <f>"PCSK6"</f>
        <v>PCSK6</v>
      </c>
      <c r="B11856" t="s">
        <v>3</v>
      </c>
    </row>
    <row r="11857" spans="1:2" x14ac:dyDescent="0.2">
      <c r="A11857" t="str">
        <f>"PCSK7"</f>
        <v>PCSK7</v>
      </c>
      <c r="B11857" t="s">
        <v>3</v>
      </c>
    </row>
    <row r="11858" spans="1:2" x14ac:dyDescent="0.2">
      <c r="A11858" t="str">
        <f>"PCSK9"</f>
        <v>PCSK9</v>
      </c>
      <c r="B11858" t="s">
        <v>2</v>
      </c>
    </row>
    <row r="11859" spans="1:2" x14ac:dyDescent="0.2">
      <c r="A11859" t="str">
        <f>"PCTP"</f>
        <v>PCTP</v>
      </c>
      <c r="B11859" t="s">
        <v>7</v>
      </c>
    </row>
    <row r="11860" spans="1:2" x14ac:dyDescent="0.2">
      <c r="A11860" t="str">
        <f>"PCYOX1"</f>
        <v>PCYOX1</v>
      </c>
      <c r="B11860" t="s">
        <v>2</v>
      </c>
    </row>
    <row r="11861" spans="1:2" x14ac:dyDescent="0.2">
      <c r="A11861" t="str">
        <f>"PCYOX1L"</f>
        <v>PCYOX1L</v>
      </c>
      <c r="B11861" t="s">
        <v>4</v>
      </c>
    </row>
    <row r="11862" spans="1:2" x14ac:dyDescent="0.2">
      <c r="A11862" t="str">
        <f>"PCYT1A"</f>
        <v>PCYT1A</v>
      </c>
      <c r="B11862" t="s">
        <v>7</v>
      </c>
    </row>
    <row r="11863" spans="1:2" x14ac:dyDescent="0.2">
      <c r="A11863" t="str">
        <f>"PCYT1B"</f>
        <v>PCYT1B</v>
      </c>
      <c r="B11863" t="s">
        <v>7</v>
      </c>
    </row>
    <row r="11864" spans="1:2" x14ac:dyDescent="0.2">
      <c r="A11864" t="str">
        <f>"PCYT2"</f>
        <v>PCYT2</v>
      </c>
      <c r="B11864" t="s">
        <v>6</v>
      </c>
    </row>
    <row r="11865" spans="1:2" x14ac:dyDescent="0.2">
      <c r="A11865" t="str">
        <f>"PDAP1"</f>
        <v>PDAP1</v>
      </c>
      <c r="B11865" t="s">
        <v>3</v>
      </c>
    </row>
    <row r="11866" spans="1:2" x14ac:dyDescent="0.2">
      <c r="A11866" t="str">
        <f>"PDC"</f>
        <v>PDC</v>
      </c>
      <c r="B11866" t="s">
        <v>7</v>
      </c>
    </row>
    <row r="11867" spans="1:2" x14ac:dyDescent="0.2">
      <c r="A11867" t="str">
        <f>"PDCD1"</f>
        <v>PDCD1</v>
      </c>
      <c r="B11867" t="s">
        <v>3</v>
      </c>
    </row>
    <row r="11868" spans="1:2" x14ac:dyDescent="0.2">
      <c r="A11868" t="str">
        <f>"PDCD10"</f>
        <v>PDCD10</v>
      </c>
      <c r="B11868" t="s">
        <v>3</v>
      </c>
    </row>
    <row r="11869" spans="1:2" x14ac:dyDescent="0.2">
      <c r="A11869" t="str">
        <f>"PDCD11"</f>
        <v>PDCD11</v>
      </c>
      <c r="B11869" t="s">
        <v>2</v>
      </c>
    </row>
    <row r="11870" spans="1:2" x14ac:dyDescent="0.2">
      <c r="A11870" t="str">
        <f>"PDCD1LG2"</f>
        <v>PDCD1LG2</v>
      </c>
      <c r="B11870" t="s">
        <v>4</v>
      </c>
    </row>
    <row r="11871" spans="1:2" x14ac:dyDescent="0.2">
      <c r="A11871" t="str">
        <f>"PDCD2"</f>
        <v>PDCD2</v>
      </c>
      <c r="B11871" t="s">
        <v>8</v>
      </c>
    </row>
    <row r="11872" spans="1:2" x14ac:dyDescent="0.2">
      <c r="A11872" t="str">
        <f>"PDCD2L"</f>
        <v>PDCD2L</v>
      </c>
      <c r="B11872" t="s">
        <v>4</v>
      </c>
    </row>
    <row r="11873" spans="1:2" x14ac:dyDescent="0.2">
      <c r="A11873" t="str">
        <f>"PDCD4"</f>
        <v>PDCD4</v>
      </c>
      <c r="B11873" t="s">
        <v>3</v>
      </c>
    </row>
    <row r="11874" spans="1:2" x14ac:dyDescent="0.2">
      <c r="A11874" t="str">
        <f>"PDCD5"</f>
        <v>PDCD5</v>
      </c>
      <c r="B11874" t="s">
        <v>3</v>
      </c>
    </row>
    <row r="11875" spans="1:2" x14ac:dyDescent="0.2">
      <c r="A11875" t="str">
        <f>"PDCD6"</f>
        <v>PDCD6</v>
      </c>
      <c r="B11875" t="s">
        <v>2</v>
      </c>
    </row>
    <row r="11876" spans="1:2" x14ac:dyDescent="0.2">
      <c r="A11876" t="str">
        <f>"PDCD6IP"</f>
        <v>PDCD6IP</v>
      </c>
      <c r="B11876" t="s">
        <v>2</v>
      </c>
    </row>
    <row r="11877" spans="1:2" x14ac:dyDescent="0.2">
      <c r="A11877" t="str">
        <f>"PDCD7"</f>
        <v>PDCD7</v>
      </c>
      <c r="B11877" t="s">
        <v>8</v>
      </c>
    </row>
    <row r="11878" spans="1:2" x14ac:dyDescent="0.2">
      <c r="A11878" t="str">
        <f>"PDCL"</f>
        <v>PDCL</v>
      </c>
      <c r="B11878" t="s">
        <v>2</v>
      </c>
    </row>
    <row r="11879" spans="1:2" x14ac:dyDescent="0.2">
      <c r="A11879" t="str">
        <f>"PDCL2"</f>
        <v>PDCL2</v>
      </c>
      <c r="B11879" t="s">
        <v>8</v>
      </c>
    </row>
    <row r="11880" spans="1:2" x14ac:dyDescent="0.2">
      <c r="A11880" t="str">
        <f>"PDCL3"</f>
        <v>PDCL3</v>
      </c>
      <c r="B11880" t="s">
        <v>4</v>
      </c>
    </row>
    <row r="11881" spans="1:2" x14ac:dyDescent="0.2">
      <c r="A11881" t="str">
        <f>"PDDC1"</f>
        <v>PDDC1</v>
      </c>
      <c r="B11881" t="s">
        <v>4</v>
      </c>
    </row>
    <row r="11882" spans="1:2" x14ac:dyDescent="0.2">
      <c r="A11882" t="str">
        <f>"PDE10A"</f>
        <v>PDE10A</v>
      </c>
      <c r="B11882" t="s">
        <v>7</v>
      </c>
    </row>
    <row r="11883" spans="1:2" x14ac:dyDescent="0.2">
      <c r="A11883" t="str">
        <f>"PDE11A"</f>
        <v>PDE11A</v>
      </c>
      <c r="B11883" t="s">
        <v>7</v>
      </c>
    </row>
    <row r="11884" spans="1:2" x14ac:dyDescent="0.2">
      <c r="A11884" t="str">
        <f>"PDE12"</f>
        <v>PDE12</v>
      </c>
      <c r="B11884" t="s">
        <v>6</v>
      </c>
    </row>
    <row r="11885" spans="1:2" x14ac:dyDescent="0.2">
      <c r="A11885" t="str">
        <f>"PDE1A"</f>
        <v>PDE1A</v>
      </c>
      <c r="B11885" t="s">
        <v>3</v>
      </c>
    </row>
    <row r="11886" spans="1:2" x14ac:dyDescent="0.2">
      <c r="A11886" t="str">
        <f>"PDE1B"</f>
        <v>PDE1B</v>
      </c>
      <c r="B11886" t="s">
        <v>7</v>
      </c>
    </row>
    <row r="11887" spans="1:2" x14ac:dyDescent="0.2">
      <c r="A11887" t="str">
        <f>"PDE1C"</f>
        <v>PDE1C</v>
      </c>
      <c r="B11887" t="s">
        <v>3</v>
      </c>
    </row>
    <row r="11888" spans="1:2" x14ac:dyDescent="0.2">
      <c r="A11888" t="str">
        <f>"PDE2A"</f>
        <v>PDE2A</v>
      </c>
      <c r="B11888" t="s">
        <v>3</v>
      </c>
    </row>
    <row r="11889" spans="1:2" x14ac:dyDescent="0.2">
      <c r="A11889" t="str">
        <f>"PDE3A"</f>
        <v>PDE3A</v>
      </c>
      <c r="B11889" t="s">
        <v>7</v>
      </c>
    </row>
    <row r="11890" spans="1:2" x14ac:dyDescent="0.2">
      <c r="A11890" t="str">
        <f>"PDE3B"</f>
        <v>PDE3B</v>
      </c>
      <c r="B11890" t="s">
        <v>7</v>
      </c>
    </row>
    <row r="11891" spans="1:2" x14ac:dyDescent="0.2">
      <c r="A11891" t="str">
        <f>"PDE4A"</f>
        <v>PDE4A</v>
      </c>
      <c r="B11891" t="s">
        <v>3</v>
      </c>
    </row>
    <row r="11892" spans="1:2" x14ac:dyDescent="0.2">
      <c r="A11892" t="str">
        <f>"PDE4B"</f>
        <v>PDE4B</v>
      </c>
      <c r="B11892" t="s">
        <v>7</v>
      </c>
    </row>
    <row r="11893" spans="1:2" x14ac:dyDescent="0.2">
      <c r="A11893" t="str">
        <f>"PDE4C"</f>
        <v>PDE4C</v>
      </c>
      <c r="B11893" t="s">
        <v>7</v>
      </c>
    </row>
    <row r="11894" spans="1:2" x14ac:dyDescent="0.2">
      <c r="A11894" t="str">
        <f>"PDE4D"</f>
        <v>PDE4D</v>
      </c>
      <c r="B11894" t="s">
        <v>3</v>
      </c>
    </row>
    <row r="11895" spans="1:2" x14ac:dyDescent="0.2">
      <c r="A11895" t="str">
        <f>"PDE4DIP"</f>
        <v>PDE4DIP</v>
      </c>
      <c r="B11895" t="s">
        <v>3</v>
      </c>
    </row>
    <row r="11896" spans="1:2" x14ac:dyDescent="0.2">
      <c r="A11896" t="str">
        <f>"PDE5A"</f>
        <v>PDE5A</v>
      </c>
      <c r="B11896" t="s">
        <v>3</v>
      </c>
    </row>
    <row r="11897" spans="1:2" x14ac:dyDescent="0.2">
      <c r="A11897" t="str">
        <f>"PDE6A"</f>
        <v>PDE6A</v>
      </c>
      <c r="B11897" t="s">
        <v>4</v>
      </c>
    </row>
    <row r="11898" spans="1:2" x14ac:dyDescent="0.2">
      <c r="A11898" t="str">
        <f>"PDE6B"</f>
        <v>PDE6B</v>
      </c>
      <c r="B11898" t="s">
        <v>6</v>
      </c>
    </row>
    <row r="11899" spans="1:2" x14ac:dyDescent="0.2">
      <c r="A11899" t="str">
        <f>"PDE6C"</f>
        <v>PDE6C</v>
      </c>
      <c r="B11899" t="s">
        <v>4</v>
      </c>
    </row>
    <row r="11900" spans="1:2" x14ac:dyDescent="0.2">
      <c r="A11900" t="str">
        <f>"PDE6D"</f>
        <v>PDE6D</v>
      </c>
      <c r="B11900" t="s">
        <v>3</v>
      </c>
    </row>
    <row r="11901" spans="1:2" x14ac:dyDescent="0.2">
      <c r="A11901" t="str">
        <f>"PDE6G"</f>
        <v>PDE6G</v>
      </c>
      <c r="B11901" t="s">
        <v>7</v>
      </c>
    </row>
    <row r="11902" spans="1:2" x14ac:dyDescent="0.2">
      <c r="A11902" t="str">
        <f>"PDE6H"</f>
        <v>PDE6H</v>
      </c>
      <c r="B11902" t="s">
        <v>7</v>
      </c>
    </row>
    <row r="11903" spans="1:2" x14ac:dyDescent="0.2">
      <c r="A11903" t="str">
        <f>"PDE7A"</f>
        <v>PDE7A</v>
      </c>
      <c r="B11903" t="s">
        <v>7</v>
      </c>
    </row>
    <row r="11904" spans="1:2" x14ac:dyDescent="0.2">
      <c r="A11904" t="str">
        <f>"PDE7B"</f>
        <v>PDE7B</v>
      </c>
      <c r="B11904" t="s">
        <v>7</v>
      </c>
    </row>
    <row r="11905" spans="1:2" x14ac:dyDescent="0.2">
      <c r="A11905" t="str">
        <f>"PDE8A"</f>
        <v>PDE8A</v>
      </c>
      <c r="B11905" t="s">
        <v>7</v>
      </c>
    </row>
    <row r="11906" spans="1:2" x14ac:dyDescent="0.2">
      <c r="A11906" t="str">
        <f>"PDE8B"</f>
        <v>PDE8B</v>
      </c>
      <c r="B11906" t="s">
        <v>7</v>
      </c>
    </row>
    <row r="11907" spans="1:2" x14ac:dyDescent="0.2">
      <c r="A11907" t="str">
        <f>"PDE9A"</f>
        <v>PDE9A</v>
      </c>
      <c r="B11907" t="s">
        <v>7</v>
      </c>
    </row>
    <row r="11908" spans="1:2" x14ac:dyDescent="0.2">
      <c r="A11908" t="str">
        <f>"PDF"</f>
        <v>PDF</v>
      </c>
      <c r="B11908" t="s">
        <v>7</v>
      </c>
    </row>
    <row r="11909" spans="1:2" x14ac:dyDescent="0.2">
      <c r="A11909" t="str">
        <f>"PDGFA"</f>
        <v>PDGFA</v>
      </c>
      <c r="B11909" t="s">
        <v>3</v>
      </c>
    </row>
    <row r="11910" spans="1:2" x14ac:dyDescent="0.2">
      <c r="A11910" t="str">
        <f>"PDGFB"</f>
        <v>PDGFB</v>
      </c>
      <c r="B11910" t="s">
        <v>3</v>
      </c>
    </row>
    <row r="11911" spans="1:2" x14ac:dyDescent="0.2">
      <c r="A11911" t="str">
        <f>"PDGFC"</f>
        <v>PDGFC</v>
      </c>
      <c r="B11911" t="s">
        <v>4</v>
      </c>
    </row>
    <row r="11912" spans="1:2" x14ac:dyDescent="0.2">
      <c r="A11912" t="str">
        <f>"PDGFD"</f>
        <v>PDGFD</v>
      </c>
      <c r="B11912" t="s">
        <v>3</v>
      </c>
    </row>
    <row r="11913" spans="1:2" x14ac:dyDescent="0.2">
      <c r="A11913" t="str">
        <f>"PDGFRA"</f>
        <v>PDGFRA</v>
      </c>
      <c r="B11913" t="s">
        <v>7</v>
      </c>
    </row>
    <row r="11914" spans="1:2" x14ac:dyDescent="0.2">
      <c r="A11914" t="str">
        <f>"PDGFRB"</f>
        <v>PDGFRB</v>
      </c>
      <c r="B11914" t="s">
        <v>7</v>
      </c>
    </row>
    <row r="11915" spans="1:2" x14ac:dyDescent="0.2">
      <c r="A11915" t="str">
        <f>"PDGFRL"</f>
        <v>PDGFRL</v>
      </c>
      <c r="B11915" t="s">
        <v>3</v>
      </c>
    </row>
    <row r="11916" spans="1:2" x14ac:dyDescent="0.2">
      <c r="A11916" t="str">
        <f>"PDHA1"</f>
        <v>PDHA1</v>
      </c>
      <c r="B11916" t="s">
        <v>7</v>
      </c>
    </row>
    <row r="11917" spans="1:2" x14ac:dyDescent="0.2">
      <c r="A11917" t="str">
        <f>"PDHA2"</f>
        <v>PDHA2</v>
      </c>
      <c r="B11917" t="s">
        <v>7</v>
      </c>
    </row>
    <row r="11918" spans="1:2" x14ac:dyDescent="0.2">
      <c r="A11918" t="str">
        <f>"PDHB"</f>
        <v>PDHB</v>
      </c>
      <c r="B11918" t="s">
        <v>7</v>
      </c>
    </row>
    <row r="11919" spans="1:2" x14ac:dyDescent="0.2">
      <c r="A11919" t="str">
        <f>"PDHX"</f>
        <v>PDHX</v>
      </c>
      <c r="B11919" t="s">
        <v>6</v>
      </c>
    </row>
    <row r="11920" spans="1:2" x14ac:dyDescent="0.2">
      <c r="A11920" t="str">
        <f>"PDIA2"</f>
        <v>PDIA2</v>
      </c>
      <c r="B11920" t="s">
        <v>2</v>
      </c>
    </row>
    <row r="11921" spans="1:2" x14ac:dyDescent="0.2">
      <c r="A11921" t="str">
        <f>"PDIA3"</f>
        <v>PDIA3</v>
      </c>
      <c r="B11921" t="s">
        <v>2</v>
      </c>
    </row>
    <row r="11922" spans="1:2" x14ac:dyDescent="0.2">
      <c r="A11922" t="str">
        <f>"PDIA4"</f>
        <v>PDIA4</v>
      </c>
      <c r="B11922" t="s">
        <v>2</v>
      </c>
    </row>
    <row r="11923" spans="1:2" x14ac:dyDescent="0.2">
      <c r="A11923" t="str">
        <f>"PDIA5"</f>
        <v>PDIA5</v>
      </c>
      <c r="B11923" t="s">
        <v>2</v>
      </c>
    </row>
    <row r="11924" spans="1:2" x14ac:dyDescent="0.2">
      <c r="A11924" t="str">
        <f>"PDIA6"</f>
        <v>PDIA6</v>
      </c>
      <c r="B11924" t="s">
        <v>2</v>
      </c>
    </row>
    <row r="11925" spans="1:2" x14ac:dyDescent="0.2">
      <c r="A11925" t="str">
        <f>"PDIK1L"</f>
        <v>PDIK1L</v>
      </c>
      <c r="B11925" t="s">
        <v>7</v>
      </c>
    </row>
    <row r="11926" spans="1:2" x14ac:dyDescent="0.2">
      <c r="A11926" t="str">
        <f>"PDILT"</f>
        <v>PDILT</v>
      </c>
      <c r="B11926" t="s">
        <v>6</v>
      </c>
    </row>
    <row r="11927" spans="1:2" x14ac:dyDescent="0.2">
      <c r="A11927" t="str">
        <f>"PDK1"</f>
        <v>PDK1</v>
      </c>
      <c r="B11927" t="s">
        <v>7</v>
      </c>
    </row>
    <row r="11928" spans="1:2" x14ac:dyDescent="0.2">
      <c r="A11928" t="str">
        <f>"PDK2"</f>
        <v>PDK2</v>
      </c>
      <c r="B11928" t="s">
        <v>7</v>
      </c>
    </row>
    <row r="11929" spans="1:2" x14ac:dyDescent="0.2">
      <c r="A11929" t="str">
        <f>"PDK3"</f>
        <v>PDK3</v>
      </c>
      <c r="B11929" t="s">
        <v>7</v>
      </c>
    </row>
    <row r="11930" spans="1:2" x14ac:dyDescent="0.2">
      <c r="A11930" t="str">
        <f>"PDK4"</f>
        <v>PDK4</v>
      </c>
      <c r="B11930" t="s">
        <v>7</v>
      </c>
    </row>
    <row r="11931" spans="1:2" x14ac:dyDescent="0.2">
      <c r="A11931" t="str">
        <f>"PDLIM1"</f>
        <v>PDLIM1</v>
      </c>
      <c r="B11931" t="s">
        <v>6</v>
      </c>
    </row>
    <row r="11932" spans="1:2" x14ac:dyDescent="0.2">
      <c r="A11932" t="str">
        <f>"PDLIM2"</f>
        <v>PDLIM2</v>
      </c>
      <c r="B11932" t="s">
        <v>6</v>
      </c>
    </row>
    <row r="11933" spans="1:2" x14ac:dyDescent="0.2">
      <c r="A11933" t="str">
        <f>"PDLIM3"</f>
        <v>PDLIM3</v>
      </c>
      <c r="B11933" t="s">
        <v>6</v>
      </c>
    </row>
    <row r="11934" spans="1:2" x14ac:dyDescent="0.2">
      <c r="A11934" t="str">
        <f>"PDLIM4"</f>
        <v>PDLIM4</v>
      </c>
      <c r="B11934" t="s">
        <v>4</v>
      </c>
    </row>
    <row r="11935" spans="1:2" x14ac:dyDescent="0.2">
      <c r="A11935" t="str">
        <f>"PDLIM5"</f>
        <v>PDLIM5</v>
      </c>
      <c r="B11935" t="s">
        <v>7</v>
      </c>
    </row>
    <row r="11936" spans="1:2" x14ac:dyDescent="0.2">
      <c r="A11936" t="str">
        <f>"PDLIM7"</f>
        <v>PDLIM7</v>
      </c>
      <c r="B11936" t="s">
        <v>6</v>
      </c>
    </row>
    <row r="11937" spans="1:2" x14ac:dyDescent="0.2">
      <c r="A11937" t="str">
        <f>"PDP1"</f>
        <v>PDP1</v>
      </c>
      <c r="B11937" t="s">
        <v>7</v>
      </c>
    </row>
    <row r="11938" spans="1:2" x14ac:dyDescent="0.2">
      <c r="A11938" t="str">
        <f>"PDP2"</f>
        <v>PDP2</v>
      </c>
      <c r="B11938" t="s">
        <v>7</v>
      </c>
    </row>
    <row r="11939" spans="1:2" x14ac:dyDescent="0.2">
      <c r="A11939" t="str">
        <f>"PDPK1"</f>
        <v>PDPK1</v>
      </c>
      <c r="B11939" t="s">
        <v>7</v>
      </c>
    </row>
    <row r="11940" spans="1:2" x14ac:dyDescent="0.2">
      <c r="A11940" t="str">
        <f>"PDPN"</f>
        <v>PDPN</v>
      </c>
      <c r="B11940" t="s">
        <v>3</v>
      </c>
    </row>
    <row r="11941" spans="1:2" x14ac:dyDescent="0.2">
      <c r="A11941" t="str">
        <f>"PDPR"</f>
        <v>PDPR</v>
      </c>
      <c r="B11941" t="s">
        <v>7</v>
      </c>
    </row>
    <row r="11942" spans="1:2" x14ac:dyDescent="0.2">
      <c r="A11942" t="str">
        <f>"PDRG1"</f>
        <v>PDRG1</v>
      </c>
      <c r="B11942" t="s">
        <v>2</v>
      </c>
    </row>
    <row r="11943" spans="1:2" x14ac:dyDescent="0.2">
      <c r="A11943" t="str">
        <f>"PDS5A"</f>
        <v>PDS5A</v>
      </c>
      <c r="B11943" t="s">
        <v>3</v>
      </c>
    </row>
    <row r="11944" spans="1:2" x14ac:dyDescent="0.2">
      <c r="A11944" t="str">
        <f>"PDS5B"</f>
        <v>PDS5B</v>
      </c>
      <c r="B11944" t="s">
        <v>3</v>
      </c>
    </row>
    <row r="11945" spans="1:2" x14ac:dyDescent="0.2">
      <c r="A11945" t="str">
        <f>"PDSS1"</f>
        <v>PDSS1</v>
      </c>
      <c r="B11945" t="s">
        <v>6</v>
      </c>
    </row>
    <row r="11946" spans="1:2" x14ac:dyDescent="0.2">
      <c r="A11946" t="str">
        <f>"PDSS2"</f>
        <v>PDSS2</v>
      </c>
      <c r="B11946" t="s">
        <v>6</v>
      </c>
    </row>
    <row r="11947" spans="1:2" x14ac:dyDescent="0.2">
      <c r="A11947" t="str">
        <f>"PDX1"</f>
        <v>PDX1</v>
      </c>
      <c r="B11947" t="s">
        <v>8</v>
      </c>
    </row>
    <row r="11948" spans="1:2" x14ac:dyDescent="0.2">
      <c r="A11948" t="str">
        <f>"PDXDC1"</f>
        <v>PDXDC1</v>
      </c>
      <c r="B11948" t="s">
        <v>7</v>
      </c>
    </row>
    <row r="11949" spans="1:2" x14ac:dyDescent="0.2">
      <c r="A11949" t="str">
        <f>"PDXK"</f>
        <v>PDXK</v>
      </c>
      <c r="B11949" t="s">
        <v>7</v>
      </c>
    </row>
    <row r="11950" spans="1:2" x14ac:dyDescent="0.2">
      <c r="A11950" t="str">
        <f>"PDXP"</f>
        <v>PDXP</v>
      </c>
      <c r="B11950" t="s">
        <v>7</v>
      </c>
    </row>
    <row r="11951" spans="1:2" x14ac:dyDescent="0.2">
      <c r="A11951" t="str">
        <f>"PDYN"</f>
        <v>PDYN</v>
      </c>
      <c r="B11951" t="s">
        <v>6</v>
      </c>
    </row>
    <row r="11952" spans="1:2" x14ac:dyDescent="0.2">
      <c r="A11952" t="str">
        <f>"PDZD11"</f>
        <v>PDZD11</v>
      </c>
      <c r="B11952" t="s">
        <v>2</v>
      </c>
    </row>
    <row r="11953" spans="1:2" x14ac:dyDescent="0.2">
      <c r="A11953" t="str">
        <f>"PDZD2"</f>
        <v>PDZD2</v>
      </c>
      <c r="B11953" t="s">
        <v>2</v>
      </c>
    </row>
    <row r="11954" spans="1:2" x14ac:dyDescent="0.2">
      <c r="A11954" t="str">
        <f>"PDZD3"</f>
        <v>PDZD3</v>
      </c>
      <c r="B11954" t="s">
        <v>4</v>
      </c>
    </row>
    <row r="11955" spans="1:2" x14ac:dyDescent="0.2">
      <c r="A11955" t="str">
        <f>"PDZD4"</f>
        <v>PDZD4</v>
      </c>
      <c r="B11955" t="s">
        <v>4</v>
      </c>
    </row>
    <row r="11956" spans="1:2" x14ac:dyDescent="0.2">
      <c r="A11956" t="str">
        <f>"PDZD7"</f>
        <v>PDZD7</v>
      </c>
      <c r="B11956" t="s">
        <v>4</v>
      </c>
    </row>
    <row r="11957" spans="1:2" x14ac:dyDescent="0.2">
      <c r="A11957" t="str">
        <f>"PDZD8"</f>
        <v>PDZD8</v>
      </c>
      <c r="B11957" t="s">
        <v>2</v>
      </c>
    </row>
    <row r="11958" spans="1:2" x14ac:dyDescent="0.2">
      <c r="A11958" t="str">
        <f>"PDZD9"</f>
        <v>PDZD9</v>
      </c>
      <c r="B11958" t="s">
        <v>4</v>
      </c>
    </row>
    <row r="11959" spans="1:2" x14ac:dyDescent="0.2">
      <c r="A11959" t="str">
        <f>"PDZK1"</f>
        <v>PDZK1</v>
      </c>
      <c r="B11959" t="s">
        <v>6</v>
      </c>
    </row>
    <row r="11960" spans="1:2" x14ac:dyDescent="0.2">
      <c r="A11960" t="str">
        <f>"PDZK1IP1"</f>
        <v>PDZK1IP1</v>
      </c>
      <c r="B11960" t="s">
        <v>5</v>
      </c>
    </row>
    <row r="11961" spans="1:2" x14ac:dyDescent="0.2">
      <c r="A11961" t="str">
        <f>"PDZRN3"</f>
        <v>PDZRN3</v>
      </c>
      <c r="B11961" t="s">
        <v>2</v>
      </c>
    </row>
    <row r="11962" spans="1:2" x14ac:dyDescent="0.2">
      <c r="A11962" t="str">
        <f>"PDZRN4"</f>
        <v>PDZRN4</v>
      </c>
      <c r="B11962" t="s">
        <v>2</v>
      </c>
    </row>
    <row r="11963" spans="1:2" x14ac:dyDescent="0.2">
      <c r="A11963" t="str">
        <f>"PEA15"</f>
        <v>PEA15</v>
      </c>
      <c r="B11963" t="s">
        <v>3</v>
      </c>
    </row>
    <row r="11964" spans="1:2" x14ac:dyDescent="0.2">
      <c r="A11964" t="str">
        <f>"PEAK1"</f>
        <v>PEAK1</v>
      </c>
      <c r="B11964" t="s">
        <v>7</v>
      </c>
    </row>
    <row r="11965" spans="1:2" x14ac:dyDescent="0.2">
      <c r="A11965" t="str">
        <f>"PEAR1"</f>
        <v>PEAR1</v>
      </c>
      <c r="B11965" t="s">
        <v>5</v>
      </c>
    </row>
    <row r="11966" spans="1:2" x14ac:dyDescent="0.2">
      <c r="A11966" t="str">
        <f>"PEBP1"</f>
        <v>PEBP1</v>
      </c>
      <c r="B11966" t="s">
        <v>2</v>
      </c>
    </row>
    <row r="11967" spans="1:2" x14ac:dyDescent="0.2">
      <c r="A11967" t="str">
        <f>"PEBP4"</f>
        <v>PEBP4</v>
      </c>
      <c r="B11967" t="s">
        <v>3</v>
      </c>
    </row>
    <row r="11968" spans="1:2" x14ac:dyDescent="0.2">
      <c r="A11968" t="str">
        <f>"PECAM1"</f>
        <v>PECAM1</v>
      </c>
      <c r="B11968" t="s">
        <v>6</v>
      </c>
    </row>
    <row r="11969" spans="1:2" x14ac:dyDescent="0.2">
      <c r="A11969" t="str">
        <f>"PECR"</f>
        <v>PECR</v>
      </c>
      <c r="B11969" t="s">
        <v>7</v>
      </c>
    </row>
    <row r="11970" spans="1:2" x14ac:dyDescent="0.2">
      <c r="A11970" t="str">
        <f>"PEF1"</f>
        <v>PEF1</v>
      </c>
      <c r="B11970" t="s">
        <v>4</v>
      </c>
    </row>
    <row r="11971" spans="1:2" x14ac:dyDescent="0.2">
      <c r="A11971" t="str">
        <f>"PEG10"</f>
        <v>PEG10</v>
      </c>
      <c r="B11971" t="s">
        <v>2</v>
      </c>
    </row>
    <row r="11972" spans="1:2" x14ac:dyDescent="0.2">
      <c r="A11972" t="str">
        <f>"PEG3"</f>
        <v>PEG3</v>
      </c>
      <c r="B11972" t="s">
        <v>3</v>
      </c>
    </row>
    <row r="11973" spans="1:2" x14ac:dyDescent="0.2">
      <c r="A11973" t="str">
        <f>"PELI1"</f>
        <v>PELI1</v>
      </c>
      <c r="B11973" t="s">
        <v>2</v>
      </c>
    </row>
    <row r="11974" spans="1:2" x14ac:dyDescent="0.2">
      <c r="A11974" t="str">
        <f>"PELI2"</f>
        <v>PELI2</v>
      </c>
      <c r="B11974" t="s">
        <v>2</v>
      </c>
    </row>
    <row r="11975" spans="1:2" x14ac:dyDescent="0.2">
      <c r="A11975" t="str">
        <f>"PELI3"</f>
        <v>PELI3</v>
      </c>
      <c r="B11975" t="s">
        <v>2</v>
      </c>
    </row>
    <row r="11976" spans="1:2" x14ac:dyDescent="0.2">
      <c r="A11976" t="str">
        <f>"PELO"</f>
        <v>PELO</v>
      </c>
      <c r="B11976" t="s">
        <v>3</v>
      </c>
    </row>
    <row r="11977" spans="1:2" x14ac:dyDescent="0.2">
      <c r="A11977" t="str">
        <f>"PELP1"</f>
        <v>PELP1</v>
      </c>
      <c r="B11977" t="s">
        <v>3</v>
      </c>
    </row>
    <row r="11978" spans="1:2" x14ac:dyDescent="0.2">
      <c r="A11978" t="str">
        <f>"PEMT"</f>
        <v>PEMT</v>
      </c>
      <c r="B11978" t="s">
        <v>6</v>
      </c>
    </row>
    <row r="11979" spans="1:2" x14ac:dyDescent="0.2">
      <c r="A11979" t="str">
        <f>"PENK"</f>
        <v>PENK</v>
      </c>
      <c r="B11979" t="s">
        <v>4</v>
      </c>
    </row>
    <row r="11980" spans="1:2" x14ac:dyDescent="0.2">
      <c r="A11980" t="str">
        <f>"PEPD"</f>
        <v>PEPD</v>
      </c>
      <c r="B11980" t="s">
        <v>2</v>
      </c>
    </row>
    <row r="11981" spans="1:2" x14ac:dyDescent="0.2">
      <c r="A11981" t="str">
        <f>"PER1"</f>
        <v>PER1</v>
      </c>
      <c r="B11981" t="s">
        <v>3</v>
      </c>
    </row>
    <row r="11982" spans="1:2" x14ac:dyDescent="0.2">
      <c r="A11982" t="str">
        <f>"PER2"</f>
        <v>PER2</v>
      </c>
      <c r="B11982" t="s">
        <v>2</v>
      </c>
    </row>
    <row r="11983" spans="1:2" x14ac:dyDescent="0.2">
      <c r="A11983" t="str">
        <f>"PER3"</f>
        <v>PER3</v>
      </c>
      <c r="B11983" t="s">
        <v>8</v>
      </c>
    </row>
    <row r="11984" spans="1:2" x14ac:dyDescent="0.2">
      <c r="A11984" t="str">
        <f>"PERP"</f>
        <v>PERP</v>
      </c>
      <c r="B11984" t="s">
        <v>6</v>
      </c>
    </row>
    <row r="11985" spans="1:2" x14ac:dyDescent="0.2">
      <c r="A11985" t="str">
        <f>"PES1"</f>
        <v>PES1</v>
      </c>
      <c r="B11985" t="s">
        <v>3</v>
      </c>
    </row>
    <row r="11986" spans="1:2" x14ac:dyDescent="0.2">
      <c r="A11986" t="str">
        <f>"PET100"</f>
        <v>PET100</v>
      </c>
      <c r="B11986" t="s">
        <v>6</v>
      </c>
    </row>
    <row r="11987" spans="1:2" x14ac:dyDescent="0.2">
      <c r="A11987" t="str">
        <f>"PET112"</f>
        <v>PET112</v>
      </c>
      <c r="B11987" t="s">
        <v>6</v>
      </c>
    </row>
    <row r="11988" spans="1:2" x14ac:dyDescent="0.2">
      <c r="A11988" t="str">
        <f>"PET117"</f>
        <v>PET117</v>
      </c>
      <c r="B11988" t="s">
        <v>6</v>
      </c>
    </row>
    <row r="11989" spans="1:2" x14ac:dyDescent="0.2">
      <c r="A11989" t="str">
        <f>"PEX1"</f>
        <v>PEX1</v>
      </c>
      <c r="B11989" t="s">
        <v>6</v>
      </c>
    </row>
    <row r="11990" spans="1:2" x14ac:dyDescent="0.2">
      <c r="A11990" t="str">
        <f>"PEX10"</f>
        <v>PEX10</v>
      </c>
      <c r="B11990" t="s">
        <v>2</v>
      </c>
    </row>
    <row r="11991" spans="1:2" x14ac:dyDescent="0.2">
      <c r="A11991" t="str">
        <f>"PEX11A"</f>
        <v>PEX11A</v>
      </c>
      <c r="B11991" t="s">
        <v>6</v>
      </c>
    </row>
    <row r="11992" spans="1:2" x14ac:dyDescent="0.2">
      <c r="A11992" t="str">
        <f>"PEX11B"</f>
        <v>PEX11B</v>
      </c>
      <c r="B11992" t="s">
        <v>6</v>
      </c>
    </row>
    <row r="11993" spans="1:2" x14ac:dyDescent="0.2">
      <c r="A11993" t="str">
        <f>"PEX11G"</f>
        <v>PEX11G</v>
      </c>
      <c r="B11993" t="s">
        <v>2</v>
      </c>
    </row>
    <row r="11994" spans="1:2" x14ac:dyDescent="0.2">
      <c r="A11994" t="str">
        <f>"PEX12"</f>
        <v>PEX12</v>
      </c>
      <c r="B11994" t="s">
        <v>2</v>
      </c>
    </row>
    <row r="11995" spans="1:2" x14ac:dyDescent="0.2">
      <c r="A11995" t="str">
        <f>"PEX13"</f>
        <v>PEX13</v>
      </c>
      <c r="B11995" t="s">
        <v>6</v>
      </c>
    </row>
    <row r="11996" spans="1:2" x14ac:dyDescent="0.2">
      <c r="A11996" t="str">
        <f>"PEX14"</f>
        <v>PEX14</v>
      </c>
      <c r="B11996" t="s">
        <v>6</v>
      </c>
    </row>
    <row r="11997" spans="1:2" x14ac:dyDescent="0.2">
      <c r="A11997" t="str">
        <f>"PEX16"</f>
        <v>PEX16</v>
      </c>
      <c r="B11997" t="s">
        <v>6</v>
      </c>
    </row>
    <row r="11998" spans="1:2" x14ac:dyDescent="0.2">
      <c r="A11998" t="str">
        <f>"PEX19"</f>
        <v>PEX19</v>
      </c>
      <c r="B11998" t="s">
        <v>2</v>
      </c>
    </row>
    <row r="11999" spans="1:2" x14ac:dyDescent="0.2">
      <c r="A11999" t="str">
        <f>"PEX2"</f>
        <v>PEX2</v>
      </c>
      <c r="B11999" t="s">
        <v>2</v>
      </c>
    </row>
    <row r="12000" spans="1:2" x14ac:dyDescent="0.2">
      <c r="A12000" t="str">
        <f>"PEX26"</f>
        <v>PEX26</v>
      </c>
      <c r="B12000" t="s">
        <v>6</v>
      </c>
    </row>
    <row r="12001" spans="1:2" x14ac:dyDescent="0.2">
      <c r="A12001" t="str">
        <f>"PEX3"</f>
        <v>PEX3</v>
      </c>
      <c r="B12001" t="s">
        <v>6</v>
      </c>
    </row>
    <row r="12002" spans="1:2" x14ac:dyDescent="0.2">
      <c r="A12002" t="str">
        <f>"PEX5"</f>
        <v>PEX5</v>
      </c>
      <c r="B12002" t="s">
        <v>6</v>
      </c>
    </row>
    <row r="12003" spans="1:2" x14ac:dyDescent="0.2">
      <c r="A12003" t="str">
        <f>"PEX5L"</f>
        <v>PEX5L</v>
      </c>
      <c r="B12003" t="s">
        <v>4</v>
      </c>
    </row>
    <row r="12004" spans="1:2" x14ac:dyDescent="0.2">
      <c r="A12004" t="str">
        <f>"PEX6"</f>
        <v>PEX6</v>
      </c>
      <c r="B12004" t="s">
        <v>2</v>
      </c>
    </row>
    <row r="12005" spans="1:2" x14ac:dyDescent="0.2">
      <c r="A12005" t="str">
        <f>"PEX7"</f>
        <v>PEX7</v>
      </c>
      <c r="B12005" t="s">
        <v>6</v>
      </c>
    </row>
    <row r="12006" spans="1:2" x14ac:dyDescent="0.2">
      <c r="A12006" t="str">
        <f>"PF4"</f>
        <v>PF4</v>
      </c>
      <c r="B12006" t="s">
        <v>3</v>
      </c>
    </row>
    <row r="12007" spans="1:2" x14ac:dyDescent="0.2">
      <c r="A12007" t="str">
        <f>"PF4V1"</f>
        <v>PF4V1</v>
      </c>
      <c r="B12007" t="s">
        <v>4</v>
      </c>
    </row>
    <row r="12008" spans="1:2" x14ac:dyDescent="0.2">
      <c r="A12008" t="str">
        <f>"PFAS"</f>
        <v>PFAS</v>
      </c>
      <c r="B12008" t="s">
        <v>7</v>
      </c>
    </row>
    <row r="12009" spans="1:2" x14ac:dyDescent="0.2">
      <c r="A12009" t="str">
        <f>"PFDN1"</f>
        <v>PFDN1</v>
      </c>
      <c r="B12009" t="s">
        <v>3</v>
      </c>
    </row>
    <row r="12010" spans="1:2" x14ac:dyDescent="0.2">
      <c r="A12010" t="str">
        <f>"PFDN2"</f>
        <v>PFDN2</v>
      </c>
      <c r="B12010" t="s">
        <v>2</v>
      </c>
    </row>
    <row r="12011" spans="1:2" x14ac:dyDescent="0.2">
      <c r="A12011" t="str">
        <f>"PFDN4"</f>
        <v>PFDN4</v>
      </c>
      <c r="B12011" t="s">
        <v>2</v>
      </c>
    </row>
    <row r="12012" spans="1:2" x14ac:dyDescent="0.2">
      <c r="A12012" t="str">
        <f>"PFDN5"</f>
        <v>PFDN5</v>
      </c>
      <c r="B12012" t="s">
        <v>2</v>
      </c>
    </row>
    <row r="12013" spans="1:2" x14ac:dyDescent="0.2">
      <c r="A12013" t="str">
        <f>"PFDN6"</f>
        <v>PFDN6</v>
      </c>
      <c r="B12013" t="s">
        <v>2</v>
      </c>
    </row>
    <row r="12014" spans="1:2" x14ac:dyDescent="0.2">
      <c r="A12014" t="str">
        <f>"PFKFB1"</f>
        <v>PFKFB1</v>
      </c>
      <c r="B12014" t="s">
        <v>7</v>
      </c>
    </row>
    <row r="12015" spans="1:2" x14ac:dyDescent="0.2">
      <c r="A12015" t="str">
        <f>"PFKFB2"</f>
        <v>PFKFB2</v>
      </c>
      <c r="B12015" t="s">
        <v>7</v>
      </c>
    </row>
    <row r="12016" spans="1:2" x14ac:dyDescent="0.2">
      <c r="A12016" t="str">
        <f>"PFKFB3"</f>
        <v>PFKFB3</v>
      </c>
      <c r="B12016" t="s">
        <v>7</v>
      </c>
    </row>
    <row r="12017" spans="1:2" x14ac:dyDescent="0.2">
      <c r="A12017" t="str">
        <f>"PFKFB4"</f>
        <v>PFKFB4</v>
      </c>
      <c r="B12017" t="s">
        <v>7</v>
      </c>
    </row>
    <row r="12018" spans="1:2" x14ac:dyDescent="0.2">
      <c r="A12018" t="str">
        <f>"PFKL"</f>
        <v>PFKL</v>
      </c>
      <c r="B12018" t="s">
        <v>7</v>
      </c>
    </row>
    <row r="12019" spans="1:2" x14ac:dyDescent="0.2">
      <c r="A12019" t="str">
        <f>"PFKM"</f>
        <v>PFKM</v>
      </c>
      <c r="B12019" t="s">
        <v>7</v>
      </c>
    </row>
    <row r="12020" spans="1:2" x14ac:dyDescent="0.2">
      <c r="A12020" t="str">
        <f>"PFKP"</f>
        <v>PFKP</v>
      </c>
      <c r="B12020" t="s">
        <v>7</v>
      </c>
    </row>
    <row r="12021" spans="1:2" x14ac:dyDescent="0.2">
      <c r="A12021" t="str">
        <f>"PFN1"</f>
        <v>PFN1</v>
      </c>
      <c r="B12021" t="s">
        <v>7</v>
      </c>
    </row>
    <row r="12022" spans="1:2" x14ac:dyDescent="0.2">
      <c r="A12022" t="str">
        <f>"PFN2"</f>
        <v>PFN2</v>
      </c>
      <c r="B12022" t="s">
        <v>7</v>
      </c>
    </row>
    <row r="12023" spans="1:2" x14ac:dyDescent="0.2">
      <c r="A12023" t="str">
        <f>"PFN3"</f>
        <v>PFN3</v>
      </c>
      <c r="B12023" t="s">
        <v>6</v>
      </c>
    </row>
    <row r="12024" spans="1:2" x14ac:dyDescent="0.2">
      <c r="A12024" t="str">
        <f>"PFN4"</f>
        <v>PFN4</v>
      </c>
      <c r="B12024" t="s">
        <v>6</v>
      </c>
    </row>
    <row r="12025" spans="1:2" x14ac:dyDescent="0.2">
      <c r="A12025" t="str">
        <f>"PGA3"</f>
        <v>PGA3</v>
      </c>
      <c r="B12025" t="s">
        <v>7</v>
      </c>
    </row>
    <row r="12026" spans="1:2" x14ac:dyDescent="0.2">
      <c r="A12026" t="str">
        <f>"PGA4"</f>
        <v>PGA4</v>
      </c>
      <c r="B12026" t="s">
        <v>2</v>
      </c>
    </row>
    <row r="12027" spans="1:2" x14ac:dyDescent="0.2">
      <c r="A12027" t="str">
        <f>"PGA5"</f>
        <v>PGA5</v>
      </c>
      <c r="B12027" t="s">
        <v>2</v>
      </c>
    </row>
    <row r="12028" spans="1:2" x14ac:dyDescent="0.2">
      <c r="A12028" t="str">
        <f>"PGAM1"</f>
        <v>PGAM1</v>
      </c>
      <c r="B12028" t="s">
        <v>3</v>
      </c>
    </row>
    <row r="12029" spans="1:2" x14ac:dyDescent="0.2">
      <c r="A12029" t="str">
        <f>"PGAM2"</f>
        <v>PGAM2</v>
      </c>
      <c r="B12029" t="s">
        <v>7</v>
      </c>
    </row>
    <row r="12030" spans="1:2" x14ac:dyDescent="0.2">
      <c r="A12030" t="str">
        <f>"PGAM5"</f>
        <v>PGAM5</v>
      </c>
      <c r="B12030" t="s">
        <v>2</v>
      </c>
    </row>
    <row r="12031" spans="1:2" x14ac:dyDescent="0.2">
      <c r="A12031" t="str">
        <f>"PGAP1"</f>
        <v>PGAP1</v>
      </c>
      <c r="B12031" t="s">
        <v>6</v>
      </c>
    </row>
    <row r="12032" spans="1:2" x14ac:dyDescent="0.2">
      <c r="A12032" t="str">
        <f>"PGAP2"</f>
        <v>PGAP2</v>
      </c>
      <c r="B12032" t="s">
        <v>3</v>
      </c>
    </row>
    <row r="12033" spans="1:2" x14ac:dyDescent="0.2">
      <c r="A12033" t="str">
        <f>"PGAP3"</f>
        <v>PGAP3</v>
      </c>
      <c r="B12033" t="s">
        <v>2</v>
      </c>
    </row>
    <row r="12034" spans="1:2" x14ac:dyDescent="0.2">
      <c r="A12034" t="str">
        <f>"PGBD1"</f>
        <v>PGBD1</v>
      </c>
      <c r="B12034" t="s">
        <v>8</v>
      </c>
    </row>
    <row r="12035" spans="1:2" x14ac:dyDescent="0.2">
      <c r="A12035" t="str">
        <f>"PGBD2"</f>
        <v>PGBD2</v>
      </c>
      <c r="B12035" t="s">
        <v>4</v>
      </c>
    </row>
    <row r="12036" spans="1:2" x14ac:dyDescent="0.2">
      <c r="A12036" t="str">
        <f>"PGBD3"</f>
        <v>PGBD3</v>
      </c>
      <c r="B12036" t="s">
        <v>3</v>
      </c>
    </row>
    <row r="12037" spans="1:2" x14ac:dyDescent="0.2">
      <c r="A12037" t="str">
        <f>"PGBD4"</f>
        <v>PGBD4</v>
      </c>
      <c r="B12037" t="s">
        <v>3</v>
      </c>
    </row>
    <row r="12038" spans="1:2" x14ac:dyDescent="0.2">
      <c r="A12038" t="str">
        <f>"PGBD5"</f>
        <v>PGBD5</v>
      </c>
      <c r="B12038" t="s">
        <v>3</v>
      </c>
    </row>
    <row r="12039" spans="1:2" x14ac:dyDescent="0.2">
      <c r="A12039" t="str">
        <f>"PGC"</f>
        <v>PGC</v>
      </c>
      <c r="B12039" t="s">
        <v>2</v>
      </c>
    </row>
    <row r="12040" spans="1:2" x14ac:dyDescent="0.2">
      <c r="A12040" t="str">
        <f>"PGD"</f>
        <v>PGD</v>
      </c>
      <c r="B12040" t="s">
        <v>7</v>
      </c>
    </row>
    <row r="12041" spans="1:2" x14ac:dyDescent="0.2">
      <c r="A12041" t="str">
        <f>"PGF"</f>
        <v>PGF</v>
      </c>
      <c r="B12041" t="s">
        <v>3</v>
      </c>
    </row>
    <row r="12042" spans="1:2" x14ac:dyDescent="0.2">
      <c r="A12042" t="str">
        <f>"PGGT1B"</f>
        <v>PGGT1B</v>
      </c>
      <c r="B12042" t="s">
        <v>7</v>
      </c>
    </row>
    <row r="12043" spans="1:2" x14ac:dyDescent="0.2">
      <c r="A12043" t="str">
        <f>"PGK1"</f>
        <v>PGK1</v>
      </c>
      <c r="B12043" t="s">
        <v>7</v>
      </c>
    </row>
    <row r="12044" spans="1:2" x14ac:dyDescent="0.2">
      <c r="A12044" t="str">
        <f>"PGK2"</f>
        <v>PGK2</v>
      </c>
      <c r="B12044" t="s">
        <v>7</v>
      </c>
    </row>
    <row r="12045" spans="1:2" x14ac:dyDescent="0.2">
      <c r="A12045" t="str">
        <f>"PGLS"</f>
        <v>PGLS</v>
      </c>
      <c r="B12045" t="s">
        <v>3</v>
      </c>
    </row>
    <row r="12046" spans="1:2" x14ac:dyDescent="0.2">
      <c r="A12046" t="str">
        <f>"PGLYRP1"</f>
        <v>PGLYRP1</v>
      </c>
      <c r="B12046" t="s">
        <v>3</v>
      </c>
    </row>
    <row r="12047" spans="1:2" x14ac:dyDescent="0.2">
      <c r="A12047" t="str">
        <f>"PGLYRP2"</f>
        <v>PGLYRP2</v>
      </c>
      <c r="B12047" t="s">
        <v>3</v>
      </c>
    </row>
    <row r="12048" spans="1:2" x14ac:dyDescent="0.2">
      <c r="A12048" t="str">
        <f>"PGLYRP3"</f>
        <v>PGLYRP3</v>
      </c>
      <c r="B12048" t="s">
        <v>7</v>
      </c>
    </row>
    <row r="12049" spans="1:2" x14ac:dyDescent="0.2">
      <c r="A12049" t="str">
        <f>"PGLYRP4"</f>
        <v>PGLYRP4</v>
      </c>
      <c r="B12049" t="s">
        <v>4</v>
      </c>
    </row>
    <row r="12050" spans="1:2" x14ac:dyDescent="0.2">
      <c r="A12050" t="str">
        <f>"PGM1"</f>
        <v>PGM1</v>
      </c>
      <c r="B12050" t="s">
        <v>3</v>
      </c>
    </row>
    <row r="12051" spans="1:2" x14ac:dyDescent="0.2">
      <c r="A12051" t="str">
        <f>"PGM2"</f>
        <v>PGM2</v>
      </c>
      <c r="B12051" t="s">
        <v>3</v>
      </c>
    </row>
    <row r="12052" spans="1:2" x14ac:dyDescent="0.2">
      <c r="A12052" t="str">
        <f>"PGM2L1"</f>
        <v>PGM2L1</v>
      </c>
      <c r="B12052" t="s">
        <v>4</v>
      </c>
    </row>
    <row r="12053" spans="1:2" x14ac:dyDescent="0.2">
      <c r="A12053" t="str">
        <f>"PGM3"</f>
        <v>PGM3</v>
      </c>
      <c r="B12053" t="s">
        <v>2</v>
      </c>
    </row>
    <row r="12054" spans="1:2" x14ac:dyDescent="0.2">
      <c r="A12054" t="str">
        <f>"PGM5"</f>
        <v>PGM5</v>
      </c>
      <c r="B12054" t="s">
        <v>2</v>
      </c>
    </row>
    <row r="12055" spans="1:2" x14ac:dyDescent="0.2">
      <c r="A12055" t="str">
        <f>"PGP"</f>
        <v>PGP</v>
      </c>
      <c r="B12055" t="s">
        <v>8</v>
      </c>
    </row>
    <row r="12056" spans="1:2" x14ac:dyDescent="0.2">
      <c r="A12056" t="str">
        <f>"PGPEP1"</f>
        <v>PGPEP1</v>
      </c>
      <c r="B12056" t="s">
        <v>2</v>
      </c>
    </row>
    <row r="12057" spans="1:2" x14ac:dyDescent="0.2">
      <c r="A12057" t="str">
        <f>"PGPEP1L"</f>
        <v>PGPEP1L</v>
      </c>
      <c r="B12057" t="s">
        <v>4</v>
      </c>
    </row>
    <row r="12058" spans="1:2" x14ac:dyDescent="0.2">
      <c r="A12058" t="str">
        <f>"PGR"</f>
        <v>PGR</v>
      </c>
      <c r="B12058" t="s">
        <v>3</v>
      </c>
    </row>
    <row r="12059" spans="1:2" x14ac:dyDescent="0.2">
      <c r="A12059" t="str">
        <f>"PGRMC1"</f>
        <v>PGRMC1</v>
      </c>
      <c r="B12059" t="s">
        <v>3</v>
      </c>
    </row>
    <row r="12060" spans="1:2" x14ac:dyDescent="0.2">
      <c r="A12060" t="str">
        <f>"PGRMC2"</f>
        <v>PGRMC2</v>
      </c>
      <c r="B12060" t="s">
        <v>3</v>
      </c>
    </row>
    <row r="12061" spans="1:2" x14ac:dyDescent="0.2">
      <c r="A12061" t="str">
        <f>"PGS1"</f>
        <v>PGS1</v>
      </c>
      <c r="B12061" t="s">
        <v>6</v>
      </c>
    </row>
    <row r="12062" spans="1:2" x14ac:dyDescent="0.2">
      <c r="A12062" t="str">
        <f>"PHACTR1"</f>
        <v>PHACTR1</v>
      </c>
      <c r="B12062" t="s">
        <v>3</v>
      </c>
    </row>
    <row r="12063" spans="1:2" x14ac:dyDescent="0.2">
      <c r="A12063" t="str">
        <f>"PHACTR2"</f>
        <v>PHACTR2</v>
      </c>
      <c r="B12063" t="s">
        <v>3</v>
      </c>
    </row>
    <row r="12064" spans="1:2" x14ac:dyDescent="0.2">
      <c r="A12064" t="str">
        <f>"PHACTR3"</f>
        <v>PHACTR3</v>
      </c>
      <c r="B12064" t="s">
        <v>3</v>
      </c>
    </row>
    <row r="12065" spans="1:2" x14ac:dyDescent="0.2">
      <c r="A12065" t="str">
        <f>"PHACTR4"</f>
        <v>PHACTR4</v>
      </c>
      <c r="B12065" t="s">
        <v>3</v>
      </c>
    </row>
    <row r="12066" spans="1:2" x14ac:dyDescent="0.2">
      <c r="A12066" t="str">
        <f>"PHAX"</f>
        <v>PHAX</v>
      </c>
      <c r="B12066" t="s">
        <v>8</v>
      </c>
    </row>
    <row r="12067" spans="1:2" x14ac:dyDescent="0.2">
      <c r="A12067" t="str">
        <f>"PHB"</f>
        <v>PHB</v>
      </c>
      <c r="B12067" t="s">
        <v>3</v>
      </c>
    </row>
    <row r="12068" spans="1:2" x14ac:dyDescent="0.2">
      <c r="A12068" t="str">
        <f>"PHB2"</f>
        <v>PHB2</v>
      </c>
      <c r="B12068" t="s">
        <v>2</v>
      </c>
    </row>
    <row r="12069" spans="1:2" x14ac:dyDescent="0.2">
      <c r="A12069" t="str">
        <f>"PHC1"</f>
        <v>PHC1</v>
      </c>
      <c r="B12069" t="s">
        <v>3</v>
      </c>
    </row>
    <row r="12070" spans="1:2" x14ac:dyDescent="0.2">
      <c r="A12070" t="str">
        <f>"PHC2"</f>
        <v>PHC2</v>
      </c>
      <c r="B12070" t="s">
        <v>3</v>
      </c>
    </row>
    <row r="12071" spans="1:2" x14ac:dyDescent="0.2">
      <c r="A12071" t="str">
        <f>"PHC3"</f>
        <v>PHC3</v>
      </c>
      <c r="B12071" t="s">
        <v>8</v>
      </c>
    </row>
    <row r="12072" spans="1:2" x14ac:dyDescent="0.2">
      <c r="A12072" t="str">
        <f>"PHEX"</f>
        <v>PHEX</v>
      </c>
      <c r="B12072" t="s">
        <v>2</v>
      </c>
    </row>
    <row r="12073" spans="1:2" x14ac:dyDescent="0.2">
      <c r="A12073" t="str">
        <f>"PHF1"</f>
        <v>PHF1</v>
      </c>
      <c r="B12073" t="s">
        <v>8</v>
      </c>
    </row>
    <row r="12074" spans="1:2" x14ac:dyDescent="0.2">
      <c r="A12074" t="str">
        <f>"PHF10"</f>
        <v>PHF10</v>
      </c>
      <c r="B12074" t="s">
        <v>8</v>
      </c>
    </row>
    <row r="12075" spans="1:2" x14ac:dyDescent="0.2">
      <c r="A12075" t="str">
        <f>"PHF11"</f>
        <v>PHF11</v>
      </c>
      <c r="B12075" t="s">
        <v>4</v>
      </c>
    </row>
    <row r="12076" spans="1:2" x14ac:dyDescent="0.2">
      <c r="A12076" t="str">
        <f>"PHF12"</f>
        <v>PHF12</v>
      </c>
      <c r="B12076" t="s">
        <v>8</v>
      </c>
    </row>
    <row r="12077" spans="1:2" x14ac:dyDescent="0.2">
      <c r="A12077" t="str">
        <f>"PHF13"</f>
        <v>PHF13</v>
      </c>
      <c r="B12077" t="s">
        <v>3</v>
      </c>
    </row>
    <row r="12078" spans="1:2" x14ac:dyDescent="0.2">
      <c r="A12078" t="str">
        <f>"PHF14"</f>
        <v>PHF14</v>
      </c>
      <c r="B12078" t="s">
        <v>2</v>
      </c>
    </row>
    <row r="12079" spans="1:2" x14ac:dyDescent="0.2">
      <c r="A12079" t="str">
        <f>"PHF15"</f>
        <v>PHF15</v>
      </c>
      <c r="B12079" t="s">
        <v>4</v>
      </c>
    </row>
    <row r="12080" spans="1:2" x14ac:dyDescent="0.2">
      <c r="A12080" t="str">
        <f>"PHF16"</f>
        <v>PHF16</v>
      </c>
      <c r="B12080" t="s">
        <v>4</v>
      </c>
    </row>
    <row r="12081" spans="1:2" x14ac:dyDescent="0.2">
      <c r="A12081" t="str">
        <f>"PHF17"</f>
        <v>PHF17</v>
      </c>
      <c r="B12081" t="s">
        <v>2</v>
      </c>
    </row>
    <row r="12082" spans="1:2" x14ac:dyDescent="0.2">
      <c r="A12082" t="str">
        <f>"PHF19"</f>
        <v>PHF19</v>
      </c>
      <c r="B12082" t="s">
        <v>4</v>
      </c>
    </row>
    <row r="12083" spans="1:2" x14ac:dyDescent="0.2">
      <c r="A12083" t="str">
        <f>"PHF2"</f>
        <v>PHF2</v>
      </c>
      <c r="B12083" t="s">
        <v>8</v>
      </c>
    </row>
    <row r="12084" spans="1:2" x14ac:dyDescent="0.2">
      <c r="A12084" t="str">
        <f>"PHF20"</f>
        <v>PHF20</v>
      </c>
      <c r="B12084" t="s">
        <v>8</v>
      </c>
    </row>
    <row r="12085" spans="1:2" x14ac:dyDescent="0.2">
      <c r="A12085" t="str">
        <f>"PHF20L1"</f>
        <v>PHF20L1</v>
      </c>
      <c r="B12085" t="s">
        <v>4</v>
      </c>
    </row>
    <row r="12086" spans="1:2" x14ac:dyDescent="0.2">
      <c r="A12086" t="str">
        <f>"PHF21A"</f>
        <v>PHF21A</v>
      </c>
      <c r="B12086" t="s">
        <v>2</v>
      </c>
    </row>
    <row r="12087" spans="1:2" x14ac:dyDescent="0.2">
      <c r="A12087" t="str">
        <f>"PHF21B"</f>
        <v>PHF21B</v>
      </c>
      <c r="B12087" t="s">
        <v>8</v>
      </c>
    </row>
    <row r="12088" spans="1:2" x14ac:dyDescent="0.2">
      <c r="A12088" t="str">
        <f>"PHF23"</f>
        <v>PHF23</v>
      </c>
      <c r="B12088" t="s">
        <v>4</v>
      </c>
    </row>
    <row r="12089" spans="1:2" x14ac:dyDescent="0.2">
      <c r="A12089" t="str">
        <f>"PHF3"</f>
        <v>PHF3</v>
      </c>
      <c r="B12089" t="s">
        <v>8</v>
      </c>
    </row>
    <row r="12090" spans="1:2" x14ac:dyDescent="0.2">
      <c r="A12090" t="str">
        <f>"PHF5A"</f>
        <v>PHF5A</v>
      </c>
      <c r="B12090" t="s">
        <v>8</v>
      </c>
    </row>
    <row r="12091" spans="1:2" x14ac:dyDescent="0.2">
      <c r="A12091" t="str">
        <f>"PHF6"</f>
        <v>PHF6</v>
      </c>
      <c r="B12091" t="s">
        <v>8</v>
      </c>
    </row>
    <row r="12092" spans="1:2" x14ac:dyDescent="0.2">
      <c r="A12092" t="str">
        <f>"PHF7"</f>
        <v>PHF7</v>
      </c>
      <c r="B12092" t="s">
        <v>2</v>
      </c>
    </row>
    <row r="12093" spans="1:2" x14ac:dyDescent="0.2">
      <c r="A12093" t="str">
        <f>"PHF8"</f>
        <v>PHF8</v>
      </c>
      <c r="B12093" t="s">
        <v>8</v>
      </c>
    </row>
    <row r="12094" spans="1:2" x14ac:dyDescent="0.2">
      <c r="A12094" t="str">
        <f>"PHGDH"</f>
        <v>PHGDH</v>
      </c>
      <c r="B12094" t="s">
        <v>7</v>
      </c>
    </row>
    <row r="12095" spans="1:2" x14ac:dyDescent="0.2">
      <c r="A12095" t="str">
        <f>"PHGR1"</f>
        <v>PHGR1</v>
      </c>
      <c r="B12095" t="s">
        <v>4</v>
      </c>
    </row>
    <row r="12096" spans="1:2" x14ac:dyDescent="0.2">
      <c r="A12096" t="str">
        <f>"PHIP"</f>
        <v>PHIP</v>
      </c>
      <c r="B12096" t="s">
        <v>3</v>
      </c>
    </row>
    <row r="12097" spans="1:2" x14ac:dyDescent="0.2">
      <c r="A12097" t="str">
        <f>"PHKA1"</f>
        <v>PHKA1</v>
      </c>
      <c r="B12097" t="s">
        <v>7</v>
      </c>
    </row>
    <row r="12098" spans="1:2" x14ac:dyDescent="0.2">
      <c r="A12098" t="str">
        <f>"PHKA2"</f>
        <v>PHKA2</v>
      </c>
      <c r="B12098" t="s">
        <v>7</v>
      </c>
    </row>
    <row r="12099" spans="1:2" x14ac:dyDescent="0.2">
      <c r="A12099" t="str">
        <f>"PHKB"</f>
        <v>PHKB</v>
      </c>
      <c r="B12099" t="s">
        <v>7</v>
      </c>
    </row>
    <row r="12100" spans="1:2" x14ac:dyDescent="0.2">
      <c r="A12100" t="str">
        <f>"PHKG1"</f>
        <v>PHKG1</v>
      </c>
      <c r="B12100" t="s">
        <v>7</v>
      </c>
    </row>
    <row r="12101" spans="1:2" x14ac:dyDescent="0.2">
      <c r="A12101" t="str">
        <f>"PHKG2"</f>
        <v>PHKG2</v>
      </c>
      <c r="B12101" t="s">
        <v>7</v>
      </c>
    </row>
    <row r="12102" spans="1:2" x14ac:dyDescent="0.2">
      <c r="A12102" t="str">
        <f>"PHLDA1"</f>
        <v>PHLDA1</v>
      </c>
      <c r="B12102" t="s">
        <v>2</v>
      </c>
    </row>
    <row r="12103" spans="1:2" x14ac:dyDescent="0.2">
      <c r="A12103" t="str">
        <f>"PHLDA2"</f>
        <v>PHLDA2</v>
      </c>
      <c r="B12103" t="s">
        <v>3</v>
      </c>
    </row>
    <row r="12104" spans="1:2" x14ac:dyDescent="0.2">
      <c r="A12104" t="str">
        <f>"PHLDA3"</f>
        <v>PHLDA3</v>
      </c>
      <c r="B12104" t="s">
        <v>4</v>
      </c>
    </row>
    <row r="12105" spans="1:2" x14ac:dyDescent="0.2">
      <c r="A12105" t="str">
        <f>"PHLDB1"</f>
        <v>PHLDB1</v>
      </c>
      <c r="B12105" t="s">
        <v>4</v>
      </c>
    </row>
    <row r="12106" spans="1:2" x14ac:dyDescent="0.2">
      <c r="A12106" t="str">
        <f>"PHLDB2"</f>
        <v>PHLDB2</v>
      </c>
      <c r="B12106" t="s">
        <v>5</v>
      </c>
    </row>
    <row r="12107" spans="1:2" x14ac:dyDescent="0.2">
      <c r="A12107" t="str">
        <f>"PHLDB3"</f>
        <v>PHLDB3</v>
      </c>
      <c r="B12107" t="s">
        <v>3</v>
      </c>
    </row>
    <row r="12108" spans="1:2" x14ac:dyDescent="0.2">
      <c r="A12108" t="str">
        <f>"PHLPP1"</f>
        <v>PHLPP1</v>
      </c>
      <c r="B12108" t="s">
        <v>3</v>
      </c>
    </row>
    <row r="12109" spans="1:2" x14ac:dyDescent="0.2">
      <c r="A12109" t="str">
        <f>"PHLPP2"</f>
        <v>PHLPP2</v>
      </c>
      <c r="B12109" t="s">
        <v>3</v>
      </c>
    </row>
    <row r="12110" spans="1:2" x14ac:dyDescent="0.2">
      <c r="A12110" t="str">
        <f>"PHOSPHO1"</f>
        <v>PHOSPHO1</v>
      </c>
      <c r="B12110" t="s">
        <v>7</v>
      </c>
    </row>
    <row r="12111" spans="1:2" x14ac:dyDescent="0.2">
      <c r="A12111" t="str">
        <f>"PHOSPHO2"</f>
        <v>PHOSPHO2</v>
      </c>
      <c r="B12111" t="s">
        <v>7</v>
      </c>
    </row>
    <row r="12112" spans="1:2" x14ac:dyDescent="0.2">
      <c r="A12112" t="str">
        <f>"PHOSPHO2-KLHL23"</f>
        <v>PHOSPHO2-KLHL23</v>
      </c>
      <c r="B12112" t="s">
        <v>4</v>
      </c>
    </row>
    <row r="12113" spans="1:2" x14ac:dyDescent="0.2">
      <c r="A12113" t="str">
        <f>"PHOX2A"</f>
        <v>PHOX2A</v>
      </c>
      <c r="B12113" t="s">
        <v>8</v>
      </c>
    </row>
    <row r="12114" spans="1:2" x14ac:dyDescent="0.2">
      <c r="A12114" t="str">
        <f>"PHOX2B"</f>
        <v>PHOX2B</v>
      </c>
      <c r="B12114" t="s">
        <v>3</v>
      </c>
    </row>
    <row r="12115" spans="1:2" x14ac:dyDescent="0.2">
      <c r="A12115" t="str">
        <f>"PHPT1"</f>
        <v>PHPT1</v>
      </c>
      <c r="B12115" t="s">
        <v>7</v>
      </c>
    </row>
    <row r="12116" spans="1:2" x14ac:dyDescent="0.2">
      <c r="A12116" t="str">
        <f>"PHRF1"</f>
        <v>PHRF1</v>
      </c>
      <c r="B12116" t="s">
        <v>2</v>
      </c>
    </row>
    <row r="12117" spans="1:2" x14ac:dyDescent="0.2">
      <c r="A12117" t="str">
        <f>"PHTF1"</f>
        <v>PHTF1</v>
      </c>
      <c r="B12117" t="s">
        <v>2</v>
      </c>
    </row>
    <row r="12118" spans="1:2" x14ac:dyDescent="0.2">
      <c r="A12118" t="str">
        <f>"PHTF2"</f>
        <v>PHTF2</v>
      </c>
      <c r="B12118" t="s">
        <v>6</v>
      </c>
    </row>
    <row r="12119" spans="1:2" x14ac:dyDescent="0.2">
      <c r="A12119" t="str">
        <f>"PHYH"</f>
        <v>PHYH</v>
      </c>
      <c r="B12119" t="s">
        <v>7</v>
      </c>
    </row>
    <row r="12120" spans="1:2" x14ac:dyDescent="0.2">
      <c r="A12120" t="str">
        <f>"PHYHD1"</f>
        <v>PHYHD1</v>
      </c>
      <c r="B12120" t="s">
        <v>4</v>
      </c>
    </row>
    <row r="12121" spans="1:2" x14ac:dyDescent="0.2">
      <c r="A12121" t="str">
        <f>"PHYHIP"</f>
        <v>PHYHIP</v>
      </c>
      <c r="B12121" t="s">
        <v>4</v>
      </c>
    </row>
    <row r="12122" spans="1:2" x14ac:dyDescent="0.2">
      <c r="A12122" t="str">
        <f>"PHYHIPL"</f>
        <v>PHYHIPL</v>
      </c>
      <c r="B12122" t="s">
        <v>6</v>
      </c>
    </row>
    <row r="12123" spans="1:2" x14ac:dyDescent="0.2">
      <c r="A12123" t="str">
        <f>"PHYKPL"</f>
        <v>PHYKPL</v>
      </c>
      <c r="B12123" t="s">
        <v>4</v>
      </c>
    </row>
    <row r="12124" spans="1:2" x14ac:dyDescent="0.2">
      <c r="A12124" t="str">
        <f>"PI15"</f>
        <v>PI15</v>
      </c>
      <c r="B12124" t="s">
        <v>6</v>
      </c>
    </row>
    <row r="12125" spans="1:2" x14ac:dyDescent="0.2">
      <c r="A12125" t="str">
        <f>"PI16"</f>
        <v>PI16</v>
      </c>
      <c r="B12125" t="s">
        <v>5</v>
      </c>
    </row>
    <row r="12126" spans="1:2" x14ac:dyDescent="0.2">
      <c r="A12126" t="str">
        <f>"PI3"</f>
        <v>PI3</v>
      </c>
      <c r="B12126" t="s">
        <v>4</v>
      </c>
    </row>
    <row r="12127" spans="1:2" x14ac:dyDescent="0.2">
      <c r="A12127" t="str">
        <f>"PI4K2A"</f>
        <v>PI4K2A</v>
      </c>
      <c r="B12127" t="s">
        <v>7</v>
      </c>
    </row>
    <row r="12128" spans="1:2" x14ac:dyDescent="0.2">
      <c r="A12128" t="str">
        <f>"PI4K2B"</f>
        <v>PI4K2B</v>
      </c>
      <c r="B12128" t="s">
        <v>7</v>
      </c>
    </row>
    <row r="12129" spans="1:2" x14ac:dyDescent="0.2">
      <c r="A12129" t="str">
        <f>"PI4KA"</f>
        <v>PI4KA</v>
      </c>
      <c r="B12129" t="s">
        <v>7</v>
      </c>
    </row>
    <row r="12130" spans="1:2" x14ac:dyDescent="0.2">
      <c r="A12130" t="str">
        <f>"PI4KB"</f>
        <v>PI4KB</v>
      </c>
      <c r="B12130" t="s">
        <v>7</v>
      </c>
    </row>
    <row r="12131" spans="1:2" x14ac:dyDescent="0.2">
      <c r="A12131" t="str">
        <f>"PIANP"</f>
        <v>PIANP</v>
      </c>
      <c r="B12131" t="s">
        <v>5</v>
      </c>
    </row>
    <row r="12132" spans="1:2" x14ac:dyDescent="0.2">
      <c r="A12132" t="str">
        <f>"PIAS1"</f>
        <v>PIAS1</v>
      </c>
      <c r="B12132" t="s">
        <v>2</v>
      </c>
    </row>
    <row r="12133" spans="1:2" x14ac:dyDescent="0.2">
      <c r="A12133" t="str">
        <f>"PIAS2"</f>
        <v>PIAS2</v>
      </c>
      <c r="B12133" t="s">
        <v>2</v>
      </c>
    </row>
    <row r="12134" spans="1:2" x14ac:dyDescent="0.2">
      <c r="A12134" t="str">
        <f>"PIAS3"</f>
        <v>PIAS3</v>
      </c>
      <c r="B12134" t="s">
        <v>2</v>
      </c>
    </row>
    <row r="12135" spans="1:2" x14ac:dyDescent="0.2">
      <c r="A12135" t="str">
        <f>"PIAS4"</f>
        <v>PIAS4</v>
      </c>
      <c r="B12135" t="s">
        <v>2</v>
      </c>
    </row>
    <row r="12136" spans="1:2" x14ac:dyDescent="0.2">
      <c r="A12136" t="str">
        <f>"PIBF1"</f>
        <v>PIBF1</v>
      </c>
      <c r="B12136" t="s">
        <v>4</v>
      </c>
    </row>
    <row r="12137" spans="1:2" x14ac:dyDescent="0.2">
      <c r="A12137" t="str">
        <f>"PICALM"</f>
        <v>PICALM</v>
      </c>
      <c r="B12137" t="s">
        <v>3</v>
      </c>
    </row>
    <row r="12138" spans="1:2" x14ac:dyDescent="0.2">
      <c r="A12138" t="str">
        <f>"PICK1"</f>
        <v>PICK1</v>
      </c>
      <c r="B12138" t="s">
        <v>7</v>
      </c>
    </row>
    <row r="12139" spans="1:2" x14ac:dyDescent="0.2">
      <c r="A12139" t="str">
        <f>"PID1"</f>
        <v>PID1</v>
      </c>
      <c r="B12139" t="s">
        <v>6</v>
      </c>
    </row>
    <row r="12140" spans="1:2" x14ac:dyDescent="0.2">
      <c r="A12140" t="str">
        <f>"PIDD"</f>
        <v>PIDD</v>
      </c>
      <c r="B12140" t="s">
        <v>3</v>
      </c>
    </row>
    <row r="12141" spans="1:2" x14ac:dyDescent="0.2">
      <c r="A12141" t="str">
        <f>"PIEZO1"</f>
        <v>PIEZO1</v>
      </c>
      <c r="B12141" t="s">
        <v>6</v>
      </c>
    </row>
    <row r="12142" spans="1:2" x14ac:dyDescent="0.2">
      <c r="A12142" t="str">
        <f>"PIEZO2"</f>
        <v>PIEZO2</v>
      </c>
      <c r="B12142" t="s">
        <v>5</v>
      </c>
    </row>
    <row r="12143" spans="1:2" x14ac:dyDescent="0.2">
      <c r="A12143" t="str">
        <f>"PIF1"</f>
        <v>PIF1</v>
      </c>
      <c r="B12143" t="s">
        <v>6</v>
      </c>
    </row>
    <row r="12144" spans="1:2" x14ac:dyDescent="0.2">
      <c r="A12144" t="str">
        <f>"PIFO"</f>
        <v>PIFO</v>
      </c>
      <c r="B12144" t="s">
        <v>4</v>
      </c>
    </row>
    <row r="12145" spans="1:2" x14ac:dyDescent="0.2">
      <c r="A12145" t="str">
        <f>"PIGA"</f>
        <v>PIGA</v>
      </c>
      <c r="B12145" t="s">
        <v>7</v>
      </c>
    </row>
    <row r="12146" spans="1:2" x14ac:dyDescent="0.2">
      <c r="A12146" t="str">
        <f>"PIGB"</f>
        <v>PIGB</v>
      </c>
      <c r="B12146" t="s">
        <v>6</v>
      </c>
    </row>
    <row r="12147" spans="1:2" x14ac:dyDescent="0.2">
      <c r="A12147" t="str">
        <f>"PIGC"</f>
        <v>PIGC</v>
      </c>
      <c r="B12147" t="s">
        <v>3</v>
      </c>
    </row>
    <row r="12148" spans="1:2" x14ac:dyDescent="0.2">
      <c r="A12148" t="str">
        <f>"PIGF"</f>
        <v>PIGF</v>
      </c>
      <c r="B12148" t="s">
        <v>6</v>
      </c>
    </row>
    <row r="12149" spans="1:2" x14ac:dyDescent="0.2">
      <c r="A12149" t="str">
        <f>"PIGG"</f>
        <v>PIGG</v>
      </c>
      <c r="B12149" t="s">
        <v>6</v>
      </c>
    </row>
    <row r="12150" spans="1:2" x14ac:dyDescent="0.2">
      <c r="A12150" t="str">
        <f>"PIGH"</f>
        <v>PIGH</v>
      </c>
      <c r="B12150" t="s">
        <v>3</v>
      </c>
    </row>
    <row r="12151" spans="1:2" x14ac:dyDescent="0.2">
      <c r="A12151" t="str">
        <f>"PIGK"</f>
        <v>PIGK</v>
      </c>
      <c r="B12151" t="s">
        <v>2</v>
      </c>
    </row>
    <row r="12152" spans="1:2" x14ac:dyDescent="0.2">
      <c r="A12152" t="str">
        <f>"PIGL"</f>
        <v>PIGL</v>
      </c>
      <c r="B12152" t="s">
        <v>6</v>
      </c>
    </row>
    <row r="12153" spans="1:2" x14ac:dyDescent="0.2">
      <c r="A12153" t="str">
        <f>"PIGM"</f>
        <v>PIGM</v>
      </c>
      <c r="B12153" t="s">
        <v>3</v>
      </c>
    </row>
    <row r="12154" spans="1:2" x14ac:dyDescent="0.2">
      <c r="A12154" t="str">
        <f>"PIGN"</f>
        <v>PIGN</v>
      </c>
      <c r="B12154" t="s">
        <v>3</v>
      </c>
    </row>
    <row r="12155" spans="1:2" x14ac:dyDescent="0.2">
      <c r="A12155" t="str">
        <f>"PIGO"</f>
        <v>PIGO</v>
      </c>
      <c r="B12155" t="s">
        <v>3</v>
      </c>
    </row>
    <row r="12156" spans="1:2" x14ac:dyDescent="0.2">
      <c r="A12156" t="str">
        <f>"PIGP"</f>
        <v>PIGP</v>
      </c>
      <c r="B12156" t="s">
        <v>5</v>
      </c>
    </row>
    <row r="12157" spans="1:2" x14ac:dyDescent="0.2">
      <c r="A12157" t="str">
        <f>"PIGQ"</f>
        <v>PIGQ</v>
      </c>
      <c r="B12157" t="s">
        <v>5</v>
      </c>
    </row>
    <row r="12158" spans="1:2" x14ac:dyDescent="0.2">
      <c r="A12158" t="str">
        <f>"PIGR"</f>
        <v>PIGR</v>
      </c>
      <c r="B12158" t="s">
        <v>6</v>
      </c>
    </row>
    <row r="12159" spans="1:2" x14ac:dyDescent="0.2">
      <c r="A12159" t="str">
        <f>"PIGS"</f>
        <v>PIGS</v>
      </c>
      <c r="B12159" t="s">
        <v>3</v>
      </c>
    </row>
    <row r="12160" spans="1:2" x14ac:dyDescent="0.2">
      <c r="A12160" t="str">
        <f>"PIGT"</f>
        <v>PIGT</v>
      </c>
      <c r="B12160" t="s">
        <v>6</v>
      </c>
    </row>
    <row r="12161" spans="1:2" x14ac:dyDescent="0.2">
      <c r="A12161" t="str">
        <f>"PIGU"</f>
        <v>PIGU</v>
      </c>
      <c r="B12161" t="s">
        <v>2</v>
      </c>
    </row>
    <row r="12162" spans="1:2" x14ac:dyDescent="0.2">
      <c r="A12162" t="str">
        <f>"PIGV"</f>
        <v>PIGV</v>
      </c>
      <c r="B12162" t="s">
        <v>6</v>
      </c>
    </row>
    <row r="12163" spans="1:2" x14ac:dyDescent="0.2">
      <c r="A12163" t="str">
        <f>"PIGW"</f>
        <v>PIGW</v>
      </c>
      <c r="B12163" t="s">
        <v>2</v>
      </c>
    </row>
    <row r="12164" spans="1:2" x14ac:dyDescent="0.2">
      <c r="A12164" t="str">
        <f>"PIGX"</f>
        <v>PIGX</v>
      </c>
      <c r="B12164" t="s">
        <v>6</v>
      </c>
    </row>
    <row r="12165" spans="1:2" x14ac:dyDescent="0.2">
      <c r="A12165" t="str">
        <f>"PIGY"</f>
        <v>PIGY</v>
      </c>
      <c r="B12165" t="s">
        <v>6</v>
      </c>
    </row>
    <row r="12166" spans="1:2" x14ac:dyDescent="0.2">
      <c r="A12166" t="str">
        <f>"PIGZ"</f>
        <v>PIGZ</v>
      </c>
      <c r="B12166" t="s">
        <v>6</v>
      </c>
    </row>
    <row r="12167" spans="1:2" x14ac:dyDescent="0.2">
      <c r="A12167" t="str">
        <f>"PIH1D1"</f>
        <v>PIH1D1</v>
      </c>
      <c r="B12167" t="s">
        <v>4</v>
      </c>
    </row>
    <row r="12168" spans="1:2" x14ac:dyDescent="0.2">
      <c r="A12168" t="str">
        <f>"PIH1D2"</f>
        <v>PIH1D2</v>
      </c>
      <c r="B12168" t="s">
        <v>4</v>
      </c>
    </row>
    <row r="12169" spans="1:2" x14ac:dyDescent="0.2">
      <c r="A12169" t="str">
        <f>"PIH1D3"</f>
        <v>PIH1D3</v>
      </c>
      <c r="B12169" t="s">
        <v>4</v>
      </c>
    </row>
    <row r="12170" spans="1:2" x14ac:dyDescent="0.2">
      <c r="A12170" t="str">
        <f>"PIK3AP1"</f>
        <v>PIK3AP1</v>
      </c>
      <c r="B12170" t="s">
        <v>7</v>
      </c>
    </row>
    <row r="12171" spans="1:2" x14ac:dyDescent="0.2">
      <c r="A12171" t="str">
        <f>"PIK3C2A"</f>
        <v>PIK3C2A</v>
      </c>
      <c r="B12171" t="s">
        <v>7</v>
      </c>
    </row>
    <row r="12172" spans="1:2" x14ac:dyDescent="0.2">
      <c r="A12172" t="str">
        <f>"PIK3C2B"</f>
        <v>PIK3C2B</v>
      </c>
      <c r="B12172" t="s">
        <v>7</v>
      </c>
    </row>
    <row r="12173" spans="1:2" x14ac:dyDescent="0.2">
      <c r="A12173" t="str">
        <f>"PIK3C2G"</f>
        <v>PIK3C2G</v>
      </c>
      <c r="B12173" t="s">
        <v>7</v>
      </c>
    </row>
    <row r="12174" spans="1:2" x14ac:dyDescent="0.2">
      <c r="A12174" t="str">
        <f>"PIK3C3"</f>
        <v>PIK3C3</v>
      </c>
      <c r="B12174" t="s">
        <v>7</v>
      </c>
    </row>
    <row r="12175" spans="1:2" x14ac:dyDescent="0.2">
      <c r="A12175" t="str">
        <f>"PIK3CA"</f>
        <v>PIK3CA</v>
      </c>
      <c r="B12175" t="s">
        <v>7</v>
      </c>
    </row>
    <row r="12176" spans="1:2" x14ac:dyDescent="0.2">
      <c r="A12176" t="str">
        <f>"PIK3CB"</f>
        <v>PIK3CB</v>
      </c>
      <c r="B12176" t="s">
        <v>7</v>
      </c>
    </row>
    <row r="12177" spans="1:2" x14ac:dyDescent="0.2">
      <c r="A12177" t="str">
        <f>"PIK3CD"</f>
        <v>PIK3CD</v>
      </c>
      <c r="B12177" t="s">
        <v>7</v>
      </c>
    </row>
    <row r="12178" spans="1:2" x14ac:dyDescent="0.2">
      <c r="A12178" t="str">
        <f>"PIK3CG"</f>
        <v>PIK3CG</v>
      </c>
      <c r="B12178" t="s">
        <v>7</v>
      </c>
    </row>
    <row r="12179" spans="1:2" x14ac:dyDescent="0.2">
      <c r="A12179" t="str">
        <f>"PIK3IP1"</f>
        <v>PIK3IP1</v>
      </c>
      <c r="B12179" t="s">
        <v>2</v>
      </c>
    </row>
    <row r="12180" spans="1:2" x14ac:dyDescent="0.2">
      <c r="A12180" t="str">
        <f>"PIK3R1"</f>
        <v>PIK3R1</v>
      </c>
      <c r="B12180" t="s">
        <v>7</v>
      </c>
    </row>
    <row r="12181" spans="1:2" x14ac:dyDescent="0.2">
      <c r="A12181" t="str">
        <f>"PIK3R2"</f>
        <v>PIK3R2</v>
      </c>
      <c r="B12181" t="s">
        <v>7</v>
      </c>
    </row>
    <row r="12182" spans="1:2" x14ac:dyDescent="0.2">
      <c r="A12182" t="str">
        <f>"PIK3R3"</f>
        <v>PIK3R3</v>
      </c>
      <c r="B12182" t="s">
        <v>7</v>
      </c>
    </row>
    <row r="12183" spans="1:2" x14ac:dyDescent="0.2">
      <c r="A12183" t="str">
        <f>"PIK3R4"</f>
        <v>PIK3R4</v>
      </c>
      <c r="B12183" t="s">
        <v>7</v>
      </c>
    </row>
    <row r="12184" spans="1:2" x14ac:dyDescent="0.2">
      <c r="A12184" t="str">
        <f>"PIK3R5"</f>
        <v>PIK3R5</v>
      </c>
      <c r="B12184" t="s">
        <v>7</v>
      </c>
    </row>
    <row r="12185" spans="1:2" x14ac:dyDescent="0.2">
      <c r="A12185" t="str">
        <f>"PIK3R6"</f>
        <v>PIK3R6</v>
      </c>
      <c r="B12185" t="s">
        <v>3</v>
      </c>
    </row>
    <row r="12186" spans="1:2" x14ac:dyDescent="0.2">
      <c r="A12186" t="str">
        <f>"PIKFYVE"</f>
        <v>PIKFYVE</v>
      </c>
      <c r="B12186" t="s">
        <v>7</v>
      </c>
    </row>
    <row r="12187" spans="1:2" x14ac:dyDescent="0.2">
      <c r="A12187" t="str">
        <f>"PILRA"</f>
        <v>PILRA</v>
      </c>
      <c r="B12187" t="s">
        <v>5</v>
      </c>
    </row>
    <row r="12188" spans="1:2" x14ac:dyDescent="0.2">
      <c r="A12188" t="str">
        <f>"PILRB"</f>
        <v>PILRB</v>
      </c>
      <c r="B12188" t="s">
        <v>5</v>
      </c>
    </row>
    <row r="12189" spans="1:2" x14ac:dyDescent="0.2">
      <c r="A12189" t="str">
        <f>"PIM1"</f>
        <v>PIM1</v>
      </c>
      <c r="B12189" t="s">
        <v>7</v>
      </c>
    </row>
    <row r="12190" spans="1:2" x14ac:dyDescent="0.2">
      <c r="A12190" t="str">
        <f>"PIM2"</f>
        <v>PIM2</v>
      </c>
      <c r="B12190" t="s">
        <v>7</v>
      </c>
    </row>
    <row r="12191" spans="1:2" x14ac:dyDescent="0.2">
      <c r="A12191" t="str">
        <f>"PIM3"</f>
        <v>PIM3</v>
      </c>
      <c r="B12191" t="s">
        <v>7</v>
      </c>
    </row>
    <row r="12192" spans="1:2" x14ac:dyDescent="0.2">
      <c r="A12192" t="str">
        <f>"PIN1"</f>
        <v>PIN1</v>
      </c>
      <c r="B12192" t="s">
        <v>3</v>
      </c>
    </row>
    <row r="12193" spans="1:2" x14ac:dyDescent="0.2">
      <c r="A12193" t="str">
        <f>"PIN4"</f>
        <v>PIN4</v>
      </c>
      <c r="B12193" t="s">
        <v>2</v>
      </c>
    </row>
    <row r="12194" spans="1:2" x14ac:dyDescent="0.2">
      <c r="A12194" t="str">
        <f>"PINK1"</f>
        <v>PINK1</v>
      </c>
      <c r="B12194" t="s">
        <v>7</v>
      </c>
    </row>
    <row r="12195" spans="1:2" x14ac:dyDescent="0.2">
      <c r="A12195" t="str">
        <f>"PINLYP"</f>
        <v>PINLYP</v>
      </c>
      <c r="B12195" t="s">
        <v>4</v>
      </c>
    </row>
    <row r="12196" spans="1:2" x14ac:dyDescent="0.2">
      <c r="A12196" t="str">
        <f>"PINX1"</f>
        <v>PINX1</v>
      </c>
      <c r="B12196" t="s">
        <v>3</v>
      </c>
    </row>
    <row r="12197" spans="1:2" x14ac:dyDescent="0.2">
      <c r="A12197" t="str">
        <f>"PIP"</f>
        <v>PIP</v>
      </c>
      <c r="B12197" t="s">
        <v>7</v>
      </c>
    </row>
    <row r="12198" spans="1:2" x14ac:dyDescent="0.2">
      <c r="A12198" t="str">
        <f>"PIP4K2A"</f>
        <v>PIP4K2A</v>
      </c>
      <c r="B12198" t="s">
        <v>7</v>
      </c>
    </row>
    <row r="12199" spans="1:2" x14ac:dyDescent="0.2">
      <c r="A12199" t="str">
        <f>"PIP4K2B"</f>
        <v>PIP4K2B</v>
      </c>
      <c r="B12199" t="s">
        <v>7</v>
      </c>
    </row>
    <row r="12200" spans="1:2" x14ac:dyDescent="0.2">
      <c r="A12200" t="str">
        <f>"PIP4K2C"</f>
        <v>PIP4K2C</v>
      </c>
      <c r="B12200" t="s">
        <v>7</v>
      </c>
    </row>
    <row r="12201" spans="1:2" x14ac:dyDescent="0.2">
      <c r="A12201" t="str">
        <f>"PIP5K1A"</f>
        <v>PIP5K1A</v>
      </c>
      <c r="B12201" t="s">
        <v>7</v>
      </c>
    </row>
    <row r="12202" spans="1:2" x14ac:dyDescent="0.2">
      <c r="A12202" t="str">
        <f>"PIP5K1B"</f>
        <v>PIP5K1B</v>
      </c>
      <c r="B12202" t="s">
        <v>7</v>
      </c>
    </row>
    <row r="12203" spans="1:2" x14ac:dyDescent="0.2">
      <c r="A12203" t="str">
        <f>"PIP5K1C"</f>
        <v>PIP5K1C</v>
      </c>
      <c r="B12203" t="s">
        <v>7</v>
      </c>
    </row>
    <row r="12204" spans="1:2" x14ac:dyDescent="0.2">
      <c r="A12204" t="str">
        <f>"PIP5KL1"</f>
        <v>PIP5KL1</v>
      </c>
      <c r="B12204" t="s">
        <v>7</v>
      </c>
    </row>
    <row r="12205" spans="1:2" x14ac:dyDescent="0.2">
      <c r="A12205" t="str">
        <f>"PIPOX"</f>
        <v>PIPOX</v>
      </c>
      <c r="B12205" t="s">
        <v>7</v>
      </c>
    </row>
    <row r="12206" spans="1:2" x14ac:dyDescent="0.2">
      <c r="A12206" t="str">
        <f>"PIR"</f>
        <v>PIR</v>
      </c>
      <c r="B12206" t="s">
        <v>8</v>
      </c>
    </row>
    <row r="12207" spans="1:2" x14ac:dyDescent="0.2">
      <c r="A12207" t="str">
        <f>"PIRT"</f>
        <v>PIRT</v>
      </c>
      <c r="B12207" t="s">
        <v>5</v>
      </c>
    </row>
    <row r="12208" spans="1:2" x14ac:dyDescent="0.2">
      <c r="A12208" t="str">
        <f>"PISD"</f>
        <v>PISD</v>
      </c>
      <c r="B12208" t="s">
        <v>7</v>
      </c>
    </row>
    <row r="12209" spans="1:2" x14ac:dyDescent="0.2">
      <c r="A12209" t="str">
        <f>"PITHD1"</f>
        <v>PITHD1</v>
      </c>
      <c r="B12209" t="s">
        <v>4</v>
      </c>
    </row>
    <row r="12210" spans="1:2" x14ac:dyDescent="0.2">
      <c r="A12210" t="str">
        <f>"PITPNA"</f>
        <v>PITPNA</v>
      </c>
      <c r="B12210" t="s">
        <v>7</v>
      </c>
    </row>
    <row r="12211" spans="1:2" x14ac:dyDescent="0.2">
      <c r="A12211" t="str">
        <f>"PITPNB"</f>
        <v>PITPNB</v>
      </c>
      <c r="B12211" t="s">
        <v>2</v>
      </c>
    </row>
    <row r="12212" spans="1:2" x14ac:dyDescent="0.2">
      <c r="A12212" t="str">
        <f>"PITPNC1"</f>
        <v>PITPNC1</v>
      </c>
      <c r="B12212" t="s">
        <v>2</v>
      </c>
    </row>
    <row r="12213" spans="1:2" x14ac:dyDescent="0.2">
      <c r="A12213" t="str">
        <f>"PITPNM1"</f>
        <v>PITPNM1</v>
      </c>
      <c r="B12213" t="s">
        <v>6</v>
      </c>
    </row>
    <row r="12214" spans="1:2" x14ac:dyDescent="0.2">
      <c r="A12214" t="str">
        <f>"PITPNM2"</f>
        <v>PITPNM2</v>
      </c>
      <c r="B12214" t="s">
        <v>6</v>
      </c>
    </row>
    <row r="12215" spans="1:2" x14ac:dyDescent="0.2">
      <c r="A12215" t="str">
        <f>"PITPNM3"</f>
        <v>PITPNM3</v>
      </c>
      <c r="B12215" t="s">
        <v>6</v>
      </c>
    </row>
    <row r="12216" spans="1:2" x14ac:dyDescent="0.2">
      <c r="A12216" t="str">
        <f>"PITRM1"</f>
        <v>PITRM1</v>
      </c>
      <c r="B12216" t="s">
        <v>2</v>
      </c>
    </row>
    <row r="12217" spans="1:2" x14ac:dyDescent="0.2">
      <c r="A12217" t="str">
        <f>"PITX1"</f>
        <v>PITX1</v>
      </c>
      <c r="B12217" t="s">
        <v>8</v>
      </c>
    </row>
    <row r="12218" spans="1:2" x14ac:dyDescent="0.2">
      <c r="A12218" t="str">
        <f>"PITX2"</f>
        <v>PITX2</v>
      </c>
      <c r="B12218" t="s">
        <v>8</v>
      </c>
    </row>
    <row r="12219" spans="1:2" x14ac:dyDescent="0.2">
      <c r="A12219" t="str">
        <f>"PITX3"</f>
        <v>PITX3</v>
      </c>
      <c r="B12219" t="s">
        <v>8</v>
      </c>
    </row>
    <row r="12220" spans="1:2" x14ac:dyDescent="0.2">
      <c r="A12220" t="str">
        <f>"PIWIL1"</f>
        <v>PIWIL1</v>
      </c>
      <c r="B12220" t="s">
        <v>8</v>
      </c>
    </row>
    <row r="12221" spans="1:2" x14ac:dyDescent="0.2">
      <c r="A12221" t="str">
        <f>"PIWIL2"</f>
        <v>PIWIL2</v>
      </c>
      <c r="B12221" t="s">
        <v>4</v>
      </c>
    </row>
    <row r="12222" spans="1:2" x14ac:dyDescent="0.2">
      <c r="A12222" t="str">
        <f>"PIWIL3"</f>
        <v>PIWIL3</v>
      </c>
      <c r="B12222" t="s">
        <v>4</v>
      </c>
    </row>
    <row r="12223" spans="1:2" x14ac:dyDescent="0.2">
      <c r="A12223" t="str">
        <f>"PIWIL4"</f>
        <v>PIWIL4</v>
      </c>
      <c r="B12223" t="s">
        <v>4</v>
      </c>
    </row>
    <row r="12224" spans="1:2" x14ac:dyDescent="0.2">
      <c r="A12224" t="str">
        <f>"PJA1"</f>
        <v>PJA1</v>
      </c>
      <c r="B12224" t="s">
        <v>2</v>
      </c>
    </row>
    <row r="12225" spans="1:2" x14ac:dyDescent="0.2">
      <c r="A12225" t="str">
        <f>"PJA2"</f>
        <v>PJA2</v>
      </c>
      <c r="B12225" t="s">
        <v>2</v>
      </c>
    </row>
    <row r="12226" spans="1:2" x14ac:dyDescent="0.2">
      <c r="A12226" t="str">
        <f>"PKD1L1"</f>
        <v>PKD1L1</v>
      </c>
      <c r="B12226" t="s">
        <v>5</v>
      </c>
    </row>
    <row r="12227" spans="1:2" x14ac:dyDescent="0.2">
      <c r="A12227" t="str">
        <f>"PKD1L2"</f>
        <v>PKD1L2</v>
      </c>
      <c r="B12227" t="s">
        <v>2</v>
      </c>
    </row>
    <row r="12228" spans="1:2" x14ac:dyDescent="0.2">
      <c r="A12228" t="str">
        <f>"PKD1L3"</f>
        <v>PKD1L3</v>
      </c>
      <c r="B12228" t="s">
        <v>5</v>
      </c>
    </row>
    <row r="12229" spans="1:2" x14ac:dyDescent="0.2">
      <c r="A12229" t="str">
        <f>"PKD2"</f>
        <v>PKD2</v>
      </c>
      <c r="B12229" t="s">
        <v>3</v>
      </c>
    </row>
    <row r="12230" spans="1:2" x14ac:dyDescent="0.2">
      <c r="A12230" t="str">
        <f>"PKD2L1"</f>
        <v>PKD2L1</v>
      </c>
      <c r="B12230" t="s">
        <v>6</v>
      </c>
    </row>
    <row r="12231" spans="1:2" x14ac:dyDescent="0.2">
      <c r="A12231" t="str">
        <f>"PKD2L2"</f>
        <v>PKD2L2</v>
      </c>
      <c r="B12231" t="s">
        <v>6</v>
      </c>
    </row>
    <row r="12232" spans="1:2" x14ac:dyDescent="0.2">
      <c r="A12232" t="str">
        <f>"PKDCC"</f>
        <v>PKDCC</v>
      </c>
      <c r="B12232" t="s">
        <v>7</v>
      </c>
    </row>
    <row r="12233" spans="1:2" x14ac:dyDescent="0.2">
      <c r="A12233" t="str">
        <f>"PKDREJ"</f>
        <v>PKDREJ</v>
      </c>
      <c r="B12233" t="s">
        <v>5</v>
      </c>
    </row>
    <row r="12234" spans="1:2" x14ac:dyDescent="0.2">
      <c r="A12234" t="str">
        <f>"PKHD1"</f>
        <v>PKHD1</v>
      </c>
      <c r="B12234" t="s">
        <v>8</v>
      </c>
    </row>
    <row r="12235" spans="1:2" x14ac:dyDescent="0.2">
      <c r="A12235" t="str">
        <f>"PKHD1L1"</f>
        <v>PKHD1L1</v>
      </c>
      <c r="B12235" t="s">
        <v>8</v>
      </c>
    </row>
    <row r="12236" spans="1:2" x14ac:dyDescent="0.2">
      <c r="A12236" t="str">
        <f>"PKIA"</f>
        <v>PKIA</v>
      </c>
      <c r="B12236" t="s">
        <v>7</v>
      </c>
    </row>
    <row r="12237" spans="1:2" x14ac:dyDescent="0.2">
      <c r="A12237" t="str">
        <f>"PKIB"</f>
        <v>PKIB</v>
      </c>
      <c r="B12237" t="s">
        <v>7</v>
      </c>
    </row>
    <row r="12238" spans="1:2" x14ac:dyDescent="0.2">
      <c r="A12238" t="str">
        <f>"PKIG"</f>
        <v>PKIG</v>
      </c>
      <c r="B12238" t="s">
        <v>7</v>
      </c>
    </row>
    <row r="12239" spans="1:2" x14ac:dyDescent="0.2">
      <c r="A12239" t="str">
        <f>"PKLR"</f>
        <v>PKLR</v>
      </c>
      <c r="B12239" t="s">
        <v>7</v>
      </c>
    </row>
    <row r="12240" spans="1:2" x14ac:dyDescent="0.2">
      <c r="A12240" t="str">
        <f>"PKM"</f>
        <v>PKM</v>
      </c>
      <c r="B12240" t="s">
        <v>7</v>
      </c>
    </row>
    <row r="12241" spans="1:2" x14ac:dyDescent="0.2">
      <c r="A12241" t="str">
        <f>"PKMYT1"</f>
        <v>PKMYT1</v>
      </c>
      <c r="B12241" t="s">
        <v>7</v>
      </c>
    </row>
    <row r="12242" spans="1:2" x14ac:dyDescent="0.2">
      <c r="A12242" t="str">
        <f>"PKN1"</f>
        <v>PKN1</v>
      </c>
      <c r="B12242" t="s">
        <v>7</v>
      </c>
    </row>
    <row r="12243" spans="1:2" x14ac:dyDescent="0.2">
      <c r="A12243" t="str">
        <f>"PKN2"</f>
        <v>PKN2</v>
      </c>
      <c r="B12243" t="s">
        <v>7</v>
      </c>
    </row>
    <row r="12244" spans="1:2" x14ac:dyDescent="0.2">
      <c r="A12244" t="str">
        <f>"PKN3"</f>
        <v>PKN3</v>
      </c>
      <c r="B12244" t="s">
        <v>7</v>
      </c>
    </row>
    <row r="12245" spans="1:2" x14ac:dyDescent="0.2">
      <c r="A12245" t="str">
        <f>"PKNOX1"</f>
        <v>PKNOX1</v>
      </c>
      <c r="B12245" t="s">
        <v>8</v>
      </c>
    </row>
    <row r="12246" spans="1:2" x14ac:dyDescent="0.2">
      <c r="A12246" t="str">
        <f>"PKNOX2"</f>
        <v>PKNOX2</v>
      </c>
      <c r="B12246" t="s">
        <v>8</v>
      </c>
    </row>
    <row r="12247" spans="1:2" x14ac:dyDescent="0.2">
      <c r="A12247" t="str">
        <f>"PKP1"</f>
        <v>PKP1</v>
      </c>
      <c r="B12247" t="s">
        <v>6</v>
      </c>
    </row>
    <row r="12248" spans="1:2" x14ac:dyDescent="0.2">
      <c r="A12248" t="str">
        <f>"PKP2"</f>
        <v>PKP2</v>
      </c>
      <c r="B12248" t="s">
        <v>6</v>
      </c>
    </row>
    <row r="12249" spans="1:2" x14ac:dyDescent="0.2">
      <c r="A12249" t="str">
        <f>"PKP3"</f>
        <v>PKP3</v>
      </c>
      <c r="B12249" t="s">
        <v>6</v>
      </c>
    </row>
    <row r="12250" spans="1:2" x14ac:dyDescent="0.2">
      <c r="A12250" t="str">
        <f>"PKP4"</f>
        <v>PKP4</v>
      </c>
      <c r="B12250" t="s">
        <v>6</v>
      </c>
    </row>
    <row r="12251" spans="1:2" x14ac:dyDescent="0.2">
      <c r="A12251" t="str">
        <f>"PLA1A"</f>
        <v>PLA1A</v>
      </c>
      <c r="B12251" t="s">
        <v>6</v>
      </c>
    </row>
    <row r="12252" spans="1:2" x14ac:dyDescent="0.2">
      <c r="A12252" t="str">
        <f>"PLA2G10"</f>
        <v>PLA2G10</v>
      </c>
      <c r="B12252" t="s">
        <v>6</v>
      </c>
    </row>
    <row r="12253" spans="1:2" x14ac:dyDescent="0.2">
      <c r="A12253" t="str">
        <f>"PLA2G12A"</f>
        <v>PLA2G12A</v>
      </c>
      <c r="B12253" t="s">
        <v>6</v>
      </c>
    </row>
    <row r="12254" spans="1:2" x14ac:dyDescent="0.2">
      <c r="A12254" t="str">
        <f>"PLA2G12B"</f>
        <v>PLA2G12B</v>
      </c>
      <c r="B12254" t="s">
        <v>6</v>
      </c>
    </row>
    <row r="12255" spans="1:2" x14ac:dyDescent="0.2">
      <c r="A12255" t="str">
        <f>"PLA2G15"</f>
        <v>PLA2G15</v>
      </c>
      <c r="B12255" t="s">
        <v>2</v>
      </c>
    </row>
    <row r="12256" spans="1:2" x14ac:dyDescent="0.2">
      <c r="A12256" t="str">
        <f>"PLA2G16"</f>
        <v>PLA2G16</v>
      </c>
      <c r="B12256" t="s">
        <v>3</v>
      </c>
    </row>
    <row r="12257" spans="1:2" x14ac:dyDescent="0.2">
      <c r="A12257" t="str">
        <f>"PLA2G1B"</f>
        <v>PLA2G1B</v>
      </c>
      <c r="B12257" t="s">
        <v>7</v>
      </c>
    </row>
    <row r="12258" spans="1:2" x14ac:dyDescent="0.2">
      <c r="A12258" t="str">
        <f>"PLA2G2A"</f>
        <v>PLA2G2A</v>
      </c>
      <c r="B12258" t="s">
        <v>3</v>
      </c>
    </row>
    <row r="12259" spans="1:2" x14ac:dyDescent="0.2">
      <c r="A12259" t="str">
        <f>"PLA2G2C"</f>
        <v>PLA2G2C</v>
      </c>
      <c r="B12259" t="s">
        <v>2</v>
      </c>
    </row>
    <row r="12260" spans="1:2" x14ac:dyDescent="0.2">
      <c r="A12260" t="str">
        <f>"PLA2G2D"</f>
        <v>PLA2G2D</v>
      </c>
      <c r="B12260" t="s">
        <v>7</v>
      </c>
    </row>
    <row r="12261" spans="1:2" x14ac:dyDescent="0.2">
      <c r="A12261" t="str">
        <f>"PLA2G2E"</f>
        <v>PLA2G2E</v>
      </c>
      <c r="B12261" t="s">
        <v>7</v>
      </c>
    </row>
    <row r="12262" spans="1:2" x14ac:dyDescent="0.2">
      <c r="A12262" t="str">
        <f>"PLA2G2F"</f>
        <v>PLA2G2F</v>
      </c>
      <c r="B12262" t="s">
        <v>6</v>
      </c>
    </row>
    <row r="12263" spans="1:2" x14ac:dyDescent="0.2">
      <c r="A12263" t="str">
        <f>"PLA2G3"</f>
        <v>PLA2G3</v>
      </c>
      <c r="B12263" t="s">
        <v>2</v>
      </c>
    </row>
    <row r="12264" spans="1:2" x14ac:dyDescent="0.2">
      <c r="A12264" t="str">
        <f>"PLA2G4A"</f>
        <v>PLA2G4A</v>
      </c>
      <c r="B12264" t="s">
        <v>3</v>
      </c>
    </row>
    <row r="12265" spans="1:2" x14ac:dyDescent="0.2">
      <c r="A12265" t="str">
        <f>"PLA2G4B"</f>
        <v>PLA2G4B</v>
      </c>
      <c r="B12265" t="s">
        <v>6</v>
      </c>
    </row>
    <row r="12266" spans="1:2" x14ac:dyDescent="0.2">
      <c r="A12266" t="str">
        <f>"PLA2G4C"</f>
        <v>PLA2G4C</v>
      </c>
      <c r="B12266" t="s">
        <v>6</v>
      </c>
    </row>
    <row r="12267" spans="1:2" x14ac:dyDescent="0.2">
      <c r="A12267" t="str">
        <f>"PLA2G4D"</f>
        <v>PLA2G4D</v>
      </c>
      <c r="B12267" t="s">
        <v>2</v>
      </c>
    </row>
    <row r="12268" spans="1:2" x14ac:dyDescent="0.2">
      <c r="A12268" t="str">
        <f>"PLA2G4E"</f>
        <v>PLA2G4E</v>
      </c>
      <c r="B12268" t="s">
        <v>2</v>
      </c>
    </row>
    <row r="12269" spans="1:2" x14ac:dyDescent="0.2">
      <c r="A12269" t="str">
        <f>"PLA2G4F"</f>
        <v>PLA2G4F</v>
      </c>
      <c r="B12269" t="s">
        <v>2</v>
      </c>
    </row>
    <row r="12270" spans="1:2" x14ac:dyDescent="0.2">
      <c r="A12270" t="str">
        <f>"PLA2G5"</f>
        <v>PLA2G5</v>
      </c>
      <c r="B12270" t="s">
        <v>3</v>
      </c>
    </row>
    <row r="12271" spans="1:2" x14ac:dyDescent="0.2">
      <c r="A12271" t="str">
        <f>"PLA2G6"</f>
        <v>PLA2G6</v>
      </c>
      <c r="B12271" t="s">
        <v>3</v>
      </c>
    </row>
    <row r="12272" spans="1:2" x14ac:dyDescent="0.2">
      <c r="A12272" t="str">
        <f>"PLA2G7"</f>
        <v>PLA2G7</v>
      </c>
      <c r="B12272" t="s">
        <v>7</v>
      </c>
    </row>
    <row r="12273" spans="1:2" x14ac:dyDescent="0.2">
      <c r="A12273" t="str">
        <f>"PLA2R1"</f>
        <v>PLA2R1</v>
      </c>
      <c r="B12273" t="s">
        <v>2</v>
      </c>
    </row>
    <row r="12274" spans="1:2" x14ac:dyDescent="0.2">
      <c r="A12274" t="str">
        <f>"PLAA"</f>
        <v>PLAA</v>
      </c>
      <c r="B12274" t="s">
        <v>2</v>
      </c>
    </row>
    <row r="12275" spans="1:2" x14ac:dyDescent="0.2">
      <c r="A12275" t="str">
        <f>"PLAC1"</f>
        <v>PLAC1</v>
      </c>
      <c r="B12275" t="s">
        <v>4</v>
      </c>
    </row>
    <row r="12276" spans="1:2" x14ac:dyDescent="0.2">
      <c r="A12276" t="str">
        <f>"PLAC1L"</f>
        <v>PLAC1L</v>
      </c>
      <c r="B12276" t="s">
        <v>4</v>
      </c>
    </row>
    <row r="12277" spans="1:2" x14ac:dyDescent="0.2">
      <c r="A12277" t="str">
        <f>"PLAC4"</f>
        <v>PLAC4</v>
      </c>
      <c r="B12277" t="s">
        <v>4</v>
      </c>
    </row>
    <row r="12278" spans="1:2" x14ac:dyDescent="0.2">
      <c r="A12278" t="str">
        <f>"PLAC8"</f>
        <v>PLAC8</v>
      </c>
      <c r="B12278" t="s">
        <v>4</v>
      </c>
    </row>
    <row r="12279" spans="1:2" x14ac:dyDescent="0.2">
      <c r="A12279" t="str">
        <f>"PLAC8L1"</f>
        <v>PLAC8L1</v>
      </c>
      <c r="B12279" t="s">
        <v>4</v>
      </c>
    </row>
    <row r="12280" spans="1:2" x14ac:dyDescent="0.2">
      <c r="A12280" t="str">
        <f>"PLAC9"</f>
        <v>PLAC9</v>
      </c>
      <c r="B12280" t="s">
        <v>4</v>
      </c>
    </row>
    <row r="12281" spans="1:2" x14ac:dyDescent="0.2">
      <c r="A12281" t="str">
        <f>"PLAG1"</f>
        <v>PLAG1</v>
      </c>
      <c r="B12281" t="s">
        <v>3</v>
      </c>
    </row>
    <row r="12282" spans="1:2" x14ac:dyDescent="0.2">
      <c r="A12282" t="str">
        <f>"PLAGL1"</f>
        <v>PLAGL1</v>
      </c>
      <c r="B12282" t="s">
        <v>3</v>
      </c>
    </row>
    <row r="12283" spans="1:2" x14ac:dyDescent="0.2">
      <c r="A12283" t="str">
        <f>"PLAGL2"</f>
        <v>PLAGL2</v>
      </c>
      <c r="B12283" t="s">
        <v>3</v>
      </c>
    </row>
    <row r="12284" spans="1:2" x14ac:dyDescent="0.2">
      <c r="A12284" t="str">
        <f>"PLAT"</f>
        <v>PLAT</v>
      </c>
      <c r="B12284" t="s">
        <v>3</v>
      </c>
    </row>
    <row r="12285" spans="1:2" x14ac:dyDescent="0.2">
      <c r="A12285" t="str">
        <f>"PLAU"</f>
        <v>PLAU</v>
      </c>
      <c r="B12285" t="s">
        <v>7</v>
      </c>
    </row>
    <row r="12286" spans="1:2" x14ac:dyDescent="0.2">
      <c r="A12286" t="str">
        <f>"PLAUR"</f>
        <v>PLAUR</v>
      </c>
      <c r="B12286" t="s">
        <v>7</v>
      </c>
    </row>
    <row r="12287" spans="1:2" x14ac:dyDescent="0.2">
      <c r="A12287" t="str">
        <f>"PLB1"</f>
        <v>PLB1</v>
      </c>
      <c r="B12287" t="s">
        <v>2</v>
      </c>
    </row>
    <row r="12288" spans="1:2" x14ac:dyDescent="0.2">
      <c r="A12288" t="str">
        <f>"PLBD1"</f>
        <v>PLBD1</v>
      </c>
      <c r="B12288" t="s">
        <v>6</v>
      </c>
    </row>
    <row r="12289" spans="1:2" x14ac:dyDescent="0.2">
      <c r="A12289" t="str">
        <f>"PLBD2"</f>
        <v>PLBD2</v>
      </c>
      <c r="B12289" t="s">
        <v>2</v>
      </c>
    </row>
    <row r="12290" spans="1:2" x14ac:dyDescent="0.2">
      <c r="A12290" t="str">
        <f>"PLCB1"</f>
        <v>PLCB1</v>
      </c>
      <c r="B12290" t="s">
        <v>3</v>
      </c>
    </row>
    <row r="12291" spans="1:2" x14ac:dyDescent="0.2">
      <c r="A12291" t="str">
        <f>"PLCB2"</f>
        <v>PLCB2</v>
      </c>
      <c r="B12291" t="s">
        <v>3</v>
      </c>
    </row>
    <row r="12292" spans="1:2" x14ac:dyDescent="0.2">
      <c r="A12292" t="str">
        <f>"PLCB3"</f>
        <v>PLCB3</v>
      </c>
      <c r="B12292" t="s">
        <v>3</v>
      </c>
    </row>
    <row r="12293" spans="1:2" x14ac:dyDescent="0.2">
      <c r="A12293" t="str">
        <f>"PLCB4"</f>
        <v>PLCB4</v>
      </c>
      <c r="B12293" t="s">
        <v>3</v>
      </c>
    </row>
    <row r="12294" spans="1:2" x14ac:dyDescent="0.2">
      <c r="A12294" t="str">
        <f>"PLCD1"</f>
        <v>PLCD1</v>
      </c>
      <c r="B12294" t="s">
        <v>3</v>
      </c>
    </row>
    <row r="12295" spans="1:2" x14ac:dyDescent="0.2">
      <c r="A12295" t="str">
        <f>"PLCD3"</f>
        <v>PLCD3</v>
      </c>
      <c r="B12295" t="s">
        <v>2</v>
      </c>
    </row>
    <row r="12296" spans="1:2" x14ac:dyDescent="0.2">
      <c r="A12296" t="str">
        <f>"PLCD4"</f>
        <v>PLCD4</v>
      </c>
      <c r="B12296" t="s">
        <v>2</v>
      </c>
    </row>
    <row r="12297" spans="1:2" x14ac:dyDescent="0.2">
      <c r="A12297" t="str">
        <f>"PLCE1"</f>
        <v>PLCE1</v>
      </c>
      <c r="B12297" t="s">
        <v>3</v>
      </c>
    </row>
    <row r="12298" spans="1:2" x14ac:dyDescent="0.2">
      <c r="A12298" t="str">
        <f>"PLCG1"</f>
        <v>PLCG1</v>
      </c>
      <c r="B12298" t="s">
        <v>3</v>
      </c>
    </row>
    <row r="12299" spans="1:2" x14ac:dyDescent="0.2">
      <c r="A12299" t="str">
        <f>"PLCG2"</f>
        <v>PLCG2</v>
      </c>
      <c r="B12299" t="s">
        <v>3</v>
      </c>
    </row>
    <row r="12300" spans="1:2" x14ac:dyDescent="0.2">
      <c r="A12300" t="str">
        <f>"PLCH1"</f>
        <v>PLCH1</v>
      </c>
      <c r="B12300" t="s">
        <v>2</v>
      </c>
    </row>
    <row r="12301" spans="1:2" x14ac:dyDescent="0.2">
      <c r="A12301" t="str">
        <f>"PLCH2"</f>
        <v>PLCH2</v>
      </c>
      <c r="B12301" t="s">
        <v>6</v>
      </c>
    </row>
    <row r="12302" spans="1:2" x14ac:dyDescent="0.2">
      <c r="A12302" t="str">
        <f>"PLCL1"</f>
        <v>PLCL1</v>
      </c>
      <c r="B12302" t="s">
        <v>7</v>
      </c>
    </row>
    <row r="12303" spans="1:2" x14ac:dyDescent="0.2">
      <c r="A12303" t="str">
        <f>"PLCL2"</f>
        <v>PLCL2</v>
      </c>
      <c r="B12303" t="s">
        <v>2</v>
      </c>
    </row>
    <row r="12304" spans="1:2" x14ac:dyDescent="0.2">
      <c r="A12304" t="str">
        <f>"PLCXD1"</f>
        <v>PLCXD1</v>
      </c>
      <c r="B12304" t="s">
        <v>4</v>
      </c>
    </row>
    <row r="12305" spans="1:2" x14ac:dyDescent="0.2">
      <c r="A12305" t="str">
        <f>"PLCXD2"</f>
        <v>PLCXD2</v>
      </c>
      <c r="B12305" t="s">
        <v>2</v>
      </c>
    </row>
    <row r="12306" spans="1:2" x14ac:dyDescent="0.2">
      <c r="A12306" t="str">
        <f>"PLCXD3"</f>
        <v>PLCXD3</v>
      </c>
      <c r="B12306" t="s">
        <v>2</v>
      </c>
    </row>
    <row r="12307" spans="1:2" x14ac:dyDescent="0.2">
      <c r="A12307" t="str">
        <f>"PLCZ1"</f>
        <v>PLCZ1</v>
      </c>
      <c r="B12307" t="s">
        <v>3</v>
      </c>
    </row>
    <row r="12308" spans="1:2" x14ac:dyDescent="0.2">
      <c r="A12308" t="str">
        <f>"PLD1"</f>
        <v>PLD1</v>
      </c>
      <c r="B12308" t="s">
        <v>3</v>
      </c>
    </row>
    <row r="12309" spans="1:2" x14ac:dyDescent="0.2">
      <c r="A12309" t="str">
        <f>"PLD2"</f>
        <v>PLD2</v>
      </c>
      <c r="B12309" t="s">
        <v>3</v>
      </c>
    </row>
    <row r="12310" spans="1:2" x14ac:dyDescent="0.2">
      <c r="A12310" t="str">
        <f>"PLD3"</f>
        <v>PLD3</v>
      </c>
      <c r="B12310" t="s">
        <v>2</v>
      </c>
    </row>
    <row r="12311" spans="1:2" x14ac:dyDescent="0.2">
      <c r="A12311" t="str">
        <f>"PLD4"</f>
        <v>PLD4</v>
      </c>
      <c r="B12311" t="s">
        <v>2</v>
      </c>
    </row>
    <row r="12312" spans="1:2" x14ac:dyDescent="0.2">
      <c r="A12312" t="str">
        <f>"PLD5"</f>
        <v>PLD5</v>
      </c>
      <c r="B12312" t="s">
        <v>5</v>
      </c>
    </row>
    <row r="12313" spans="1:2" x14ac:dyDescent="0.2">
      <c r="A12313" t="str">
        <f>"PLD6"</f>
        <v>PLD6</v>
      </c>
      <c r="B12313" t="s">
        <v>6</v>
      </c>
    </row>
    <row r="12314" spans="1:2" x14ac:dyDescent="0.2">
      <c r="A12314" t="str">
        <f>"PLEC"</f>
        <v>PLEC</v>
      </c>
      <c r="B12314" t="s">
        <v>3</v>
      </c>
    </row>
    <row r="12315" spans="1:2" x14ac:dyDescent="0.2">
      <c r="A12315" t="str">
        <f>"PLEK"</f>
        <v>PLEK</v>
      </c>
      <c r="B12315" t="s">
        <v>8</v>
      </c>
    </row>
    <row r="12316" spans="1:2" x14ac:dyDescent="0.2">
      <c r="A12316" t="str">
        <f>"PLEK2"</f>
        <v>PLEK2</v>
      </c>
      <c r="B12316" t="s">
        <v>8</v>
      </c>
    </row>
    <row r="12317" spans="1:2" x14ac:dyDescent="0.2">
      <c r="A12317" t="str">
        <f>"PLEKHA1"</f>
        <v>PLEKHA1</v>
      </c>
      <c r="B12317" t="s">
        <v>7</v>
      </c>
    </row>
    <row r="12318" spans="1:2" x14ac:dyDescent="0.2">
      <c r="A12318" t="str">
        <f>"PLEKHA2"</f>
        <v>PLEKHA2</v>
      </c>
      <c r="B12318" t="s">
        <v>6</v>
      </c>
    </row>
    <row r="12319" spans="1:2" x14ac:dyDescent="0.2">
      <c r="A12319" t="str">
        <f>"PLEKHA3"</f>
        <v>PLEKHA3</v>
      </c>
      <c r="B12319" t="s">
        <v>6</v>
      </c>
    </row>
    <row r="12320" spans="1:2" x14ac:dyDescent="0.2">
      <c r="A12320" t="str">
        <f>"PLEKHA4"</f>
        <v>PLEKHA4</v>
      </c>
      <c r="B12320" t="s">
        <v>7</v>
      </c>
    </row>
    <row r="12321" spans="1:2" x14ac:dyDescent="0.2">
      <c r="A12321" t="str">
        <f>"PLEKHA5"</f>
        <v>PLEKHA5</v>
      </c>
      <c r="B12321" t="s">
        <v>4</v>
      </c>
    </row>
    <row r="12322" spans="1:2" x14ac:dyDescent="0.2">
      <c r="A12322" t="str">
        <f>"PLEKHA6"</f>
        <v>PLEKHA6</v>
      </c>
      <c r="B12322" t="s">
        <v>4</v>
      </c>
    </row>
    <row r="12323" spans="1:2" x14ac:dyDescent="0.2">
      <c r="A12323" t="str">
        <f>"PLEKHA7"</f>
        <v>PLEKHA7</v>
      </c>
      <c r="B12323" t="s">
        <v>4</v>
      </c>
    </row>
    <row r="12324" spans="1:2" x14ac:dyDescent="0.2">
      <c r="A12324" t="str">
        <f>"PLEKHA8"</f>
        <v>PLEKHA8</v>
      </c>
      <c r="B12324" t="s">
        <v>3</v>
      </c>
    </row>
    <row r="12325" spans="1:2" x14ac:dyDescent="0.2">
      <c r="A12325" t="str">
        <f>"PLEKHB1"</f>
        <v>PLEKHB1</v>
      </c>
      <c r="B12325" t="s">
        <v>4</v>
      </c>
    </row>
    <row r="12326" spans="1:2" x14ac:dyDescent="0.2">
      <c r="A12326" t="str">
        <f>"PLEKHB2"</f>
        <v>PLEKHB2</v>
      </c>
      <c r="B12326" t="s">
        <v>5</v>
      </c>
    </row>
    <row r="12327" spans="1:2" x14ac:dyDescent="0.2">
      <c r="A12327" t="str">
        <f>"PLEKHD1"</f>
        <v>PLEKHD1</v>
      </c>
      <c r="B12327" t="s">
        <v>4</v>
      </c>
    </row>
    <row r="12328" spans="1:2" x14ac:dyDescent="0.2">
      <c r="A12328" t="str">
        <f>"PLEKHF1"</f>
        <v>PLEKHF1</v>
      </c>
      <c r="B12328" t="s">
        <v>2</v>
      </c>
    </row>
    <row r="12329" spans="1:2" x14ac:dyDescent="0.2">
      <c r="A12329" t="str">
        <f>"PLEKHF2"</f>
        <v>PLEKHF2</v>
      </c>
      <c r="B12329" t="s">
        <v>2</v>
      </c>
    </row>
    <row r="12330" spans="1:2" x14ac:dyDescent="0.2">
      <c r="A12330" t="str">
        <f>"PLEKHG1"</f>
        <v>PLEKHG1</v>
      </c>
      <c r="B12330" t="s">
        <v>4</v>
      </c>
    </row>
    <row r="12331" spans="1:2" x14ac:dyDescent="0.2">
      <c r="A12331" t="str">
        <f>"PLEKHG2"</f>
        <v>PLEKHG2</v>
      </c>
      <c r="B12331" t="s">
        <v>4</v>
      </c>
    </row>
    <row r="12332" spans="1:2" x14ac:dyDescent="0.2">
      <c r="A12332" t="str">
        <f>"PLEKHG3"</f>
        <v>PLEKHG3</v>
      </c>
      <c r="B12332" t="s">
        <v>6</v>
      </c>
    </row>
    <row r="12333" spans="1:2" x14ac:dyDescent="0.2">
      <c r="A12333" t="str">
        <f>"PLEKHG4"</f>
        <v>PLEKHG4</v>
      </c>
      <c r="B12333" t="s">
        <v>4</v>
      </c>
    </row>
    <row r="12334" spans="1:2" x14ac:dyDescent="0.2">
      <c r="A12334" t="str">
        <f>"PLEKHG4B"</f>
        <v>PLEKHG4B</v>
      </c>
      <c r="B12334" t="s">
        <v>4</v>
      </c>
    </row>
    <row r="12335" spans="1:2" x14ac:dyDescent="0.2">
      <c r="A12335" t="str">
        <f>"PLEKHG5"</f>
        <v>PLEKHG5</v>
      </c>
      <c r="B12335" t="s">
        <v>4</v>
      </c>
    </row>
    <row r="12336" spans="1:2" x14ac:dyDescent="0.2">
      <c r="A12336" t="str">
        <f>"PLEKHG6"</f>
        <v>PLEKHG6</v>
      </c>
      <c r="B12336" t="s">
        <v>8</v>
      </c>
    </row>
    <row r="12337" spans="1:2" x14ac:dyDescent="0.2">
      <c r="A12337" t="str">
        <f>"PLEKHG7"</f>
        <v>PLEKHG7</v>
      </c>
      <c r="B12337" t="s">
        <v>4</v>
      </c>
    </row>
    <row r="12338" spans="1:2" x14ac:dyDescent="0.2">
      <c r="A12338" t="str">
        <f>"PLEKHH1"</f>
        <v>PLEKHH1</v>
      </c>
      <c r="B12338" t="s">
        <v>6</v>
      </c>
    </row>
    <row r="12339" spans="1:2" x14ac:dyDescent="0.2">
      <c r="A12339" t="str">
        <f>"PLEKHH2"</f>
        <v>PLEKHH2</v>
      </c>
      <c r="B12339" t="s">
        <v>6</v>
      </c>
    </row>
    <row r="12340" spans="1:2" x14ac:dyDescent="0.2">
      <c r="A12340" t="str">
        <f>"PLEKHH3"</f>
        <v>PLEKHH3</v>
      </c>
      <c r="B12340" t="s">
        <v>6</v>
      </c>
    </row>
    <row r="12341" spans="1:2" x14ac:dyDescent="0.2">
      <c r="A12341" t="str">
        <f>"PLEKHJ1"</f>
        <v>PLEKHJ1</v>
      </c>
      <c r="B12341" t="s">
        <v>3</v>
      </c>
    </row>
    <row r="12342" spans="1:2" x14ac:dyDescent="0.2">
      <c r="A12342" t="str">
        <f>"PLEKHM1"</f>
        <v>PLEKHM1</v>
      </c>
      <c r="B12342" t="s">
        <v>4</v>
      </c>
    </row>
    <row r="12343" spans="1:2" x14ac:dyDescent="0.2">
      <c r="A12343" t="str">
        <f>"PLEKHM2"</f>
        <v>PLEKHM2</v>
      </c>
      <c r="B12343" t="s">
        <v>3</v>
      </c>
    </row>
    <row r="12344" spans="1:2" x14ac:dyDescent="0.2">
      <c r="A12344" t="str">
        <f>"PLEKHM3"</f>
        <v>PLEKHM3</v>
      </c>
      <c r="B12344" t="s">
        <v>5</v>
      </c>
    </row>
    <row r="12345" spans="1:2" x14ac:dyDescent="0.2">
      <c r="A12345" t="str">
        <f>"PLEKHN1"</f>
        <v>PLEKHN1</v>
      </c>
      <c r="B12345" t="s">
        <v>4</v>
      </c>
    </row>
    <row r="12346" spans="1:2" x14ac:dyDescent="0.2">
      <c r="A12346" t="str">
        <f>"PLEKHO1"</f>
        <v>PLEKHO1</v>
      </c>
      <c r="B12346" t="s">
        <v>3</v>
      </c>
    </row>
    <row r="12347" spans="1:2" x14ac:dyDescent="0.2">
      <c r="A12347" t="str">
        <f>"PLEKHO2"</f>
        <v>PLEKHO2</v>
      </c>
      <c r="B12347" t="s">
        <v>4</v>
      </c>
    </row>
    <row r="12348" spans="1:2" x14ac:dyDescent="0.2">
      <c r="A12348" t="str">
        <f>"PLEKHS1"</f>
        <v>PLEKHS1</v>
      </c>
      <c r="B12348" t="s">
        <v>3</v>
      </c>
    </row>
    <row r="12349" spans="1:2" x14ac:dyDescent="0.2">
      <c r="A12349" t="str">
        <f>"PLG"</f>
        <v>PLG</v>
      </c>
      <c r="B12349" t="s">
        <v>3</v>
      </c>
    </row>
    <row r="12350" spans="1:2" x14ac:dyDescent="0.2">
      <c r="A12350" t="str">
        <f>"PLGRKT"</f>
        <v>PLGRKT</v>
      </c>
      <c r="B12350" t="s">
        <v>6</v>
      </c>
    </row>
    <row r="12351" spans="1:2" x14ac:dyDescent="0.2">
      <c r="A12351" t="str">
        <f>"PLIN1"</f>
        <v>PLIN1</v>
      </c>
      <c r="B12351" t="s">
        <v>6</v>
      </c>
    </row>
    <row r="12352" spans="1:2" x14ac:dyDescent="0.2">
      <c r="A12352" t="str">
        <f>"PLIN2"</f>
        <v>PLIN2</v>
      </c>
      <c r="B12352" t="s">
        <v>2</v>
      </c>
    </row>
    <row r="12353" spans="1:2" x14ac:dyDescent="0.2">
      <c r="A12353" t="str">
        <f>"PLIN3"</f>
        <v>PLIN3</v>
      </c>
      <c r="B12353" t="s">
        <v>7</v>
      </c>
    </row>
    <row r="12354" spans="1:2" x14ac:dyDescent="0.2">
      <c r="A12354" t="str">
        <f>"PLIN4"</f>
        <v>PLIN4</v>
      </c>
      <c r="B12354" t="s">
        <v>6</v>
      </c>
    </row>
    <row r="12355" spans="1:2" x14ac:dyDescent="0.2">
      <c r="A12355" t="str">
        <f>"PLIN5"</f>
        <v>PLIN5</v>
      </c>
      <c r="B12355" t="s">
        <v>4</v>
      </c>
    </row>
    <row r="12356" spans="1:2" x14ac:dyDescent="0.2">
      <c r="A12356" t="str">
        <f>"PLK1"</f>
        <v>PLK1</v>
      </c>
      <c r="B12356" t="s">
        <v>7</v>
      </c>
    </row>
    <row r="12357" spans="1:2" x14ac:dyDescent="0.2">
      <c r="A12357" t="str">
        <f>"PLK1S1"</f>
        <v>PLK1S1</v>
      </c>
      <c r="B12357" t="s">
        <v>4</v>
      </c>
    </row>
    <row r="12358" spans="1:2" x14ac:dyDescent="0.2">
      <c r="A12358" t="str">
        <f>"PLK2"</f>
        <v>PLK2</v>
      </c>
      <c r="B12358" t="s">
        <v>7</v>
      </c>
    </row>
    <row r="12359" spans="1:2" x14ac:dyDescent="0.2">
      <c r="A12359" t="str">
        <f>"PLK3"</f>
        <v>PLK3</v>
      </c>
      <c r="B12359" t="s">
        <v>7</v>
      </c>
    </row>
    <row r="12360" spans="1:2" x14ac:dyDescent="0.2">
      <c r="A12360" t="str">
        <f>"PLK4"</f>
        <v>PLK4</v>
      </c>
      <c r="B12360" t="s">
        <v>7</v>
      </c>
    </row>
    <row r="12361" spans="1:2" x14ac:dyDescent="0.2">
      <c r="A12361" t="str">
        <f>"PLK5"</f>
        <v>PLK5</v>
      </c>
      <c r="B12361" t="s">
        <v>4</v>
      </c>
    </row>
    <row r="12362" spans="1:2" x14ac:dyDescent="0.2">
      <c r="A12362" t="str">
        <f>"PLLP"</f>
        <v>PLLP</v>
      </c>
      <c r="B12362" t="s">
        <v>6</v>
      </c>
    </row>
    <row r="12363" spans="1:2" x14ac:dyDescent="0.2">
      <c r="A12363" t="str">
        <f>"PLN"</f>
        <v>PLN</v>
      </c>
      <c r="B12363" t="s">
        <v>6</v>
      </c>
    </row>
    <row r="12364" spans="1:2" x14ac:dyDescent="0.2">
      <c r="A12364" t="str">
        <f>"PLOD1"</f>
        <v>PLOD1</v>
      </c>
      <c r="B12364" t="s">
        <v>7</v>
      </c>
    </row>
    <row r="12365" spans="1:2" x14ac:dyDescent="0.2">
      <c r="A12365" t="str">
        <f>"PLOD2"</f>
        <v>PLOD2</v>
      </c>
      <c r="B12365" t="s">
        <v>7</v>
      </c>
    </row>
    <row r="12366" spans="1:2" x14ac:dyDescent="0.2">
      <c r="A12366" t="str">
        <f>"PLOD3"</f>
        <v>PLOD3</v>
      </c>
      <c r="B12366" t="s">
        <v>7</v>
      </c>
    </row>
    <row r="12367" spans="1:2" x14ac:dyDescent="0.2">
      <c r="A12367" t="str">
        <f>"PLP1"</f>
        <v>PLP1</v>
      </c>
      <c r="B12367" t="s">
        <v>3</v>
      </c>
    </row>
    <row r="12368" spans="1:2" x14ac:dyDescent="0.2">
      <c r="A12368" t="str">
        <f>"PLP2"</f>
        <v>PLP2</v>
      </c>
      <c r="B12368" t="s">
        <v>6</v>
      </c>
    </row>
    <row r="12369" spans="1:2" x14ac:dyDescent="0.2">
      <c r="A12369" t="str">
        <f>"PLRG1"</f>
        <v>PLRG1</v>
      </c>
      <c r="B12369" t="s">
        <v>6</v>
      </c>
    </row>
    <row r="12370" spans="1:2" x14ac:dyDescent="0.2">
      <c r="A12370" t="str">
        <f>"PLS1"</f>
        <v>PLS1</v>
      </c>
      <c r="B12370" t="s">
        <v>6</v>
      </c>
    </row>
    <row r="12371" spans="1:2" x14ac:dyDescent="0.2">
      <c r="A12371" t="str">
        <f>"PLS3"</f>
        <v>PLS3</v>
      </c>
      <c r="B12371" t="s">
        <v>3</v>
      </c>
    </row>
    <row r="12372" spans="1:2" x14ac:dyDescent="0.2">
      <c r="A12372" t="str">
        <f>"PLSCR1"</f>
        <v>PLSCR1</v>
      </c>
      <c r="B12372" t="s">
        <v>3</v>
      </c>
    </row>
    <row r="12373" spans="1:2" x14ac:dyDescent="0.2">
      <c r="A12373" t="str">
        <f>"PLSCR2"</f>
        <v>PLSCR2</v>
      </c>
      <c r="B12373" t="s">
        <v>4</v>
      </c>
    </row>
    <row r="12374" spans="1:2" x14ac:dyDescent="0.2">
      <c r="A12374" t="str">
        <f>"PLSCR3"</f>
        <v>PLSCR3</v>
      </c>
      <c r="B12374" t="s">
        <v>4</v>
      </c>
    </row>
    <row r="12375" spans="1:2" x14ac:dyDescent="0.2">
      <c r="A12375" t="str">
        <f>"PLSCR4"</f>
        <v>PLSCR4</v>
      </c>
      <c r="B12375" t="s">
        <v>5</v>
      </c>
    </row>
    <row r="12376" spans="1:2" x14ac:dyDescent="0.2">
      <c r="A12376" t="str">
        <f>"PLSCR5"</f>
        <v>PLSCR5</v>
      </c>
      <c r="B12376" t="s">
        <v>4</v>
      </c>
    </row>
    <row r="12377" spans="1:2" x14ac:dyDescent="0.2">
      <c r="A12377" t="str">
        <f>"PLTP"</f>
        <v>PLTP</v>
      </c>
      <c r="B12377" t="s">
        <v>6</v>
      </c>
    </row>
    <row r="12378" spans="1:2" x14ac:dyDescent="0.2">
      <c r="A12378" t="str">
        <f>"PLVAP"</f>
        <v>PLVAP</v>
      </c>
      <c r="B12378" t="s">
        <v>5</v>
      </c>
    </row>
    <row r="12379" spans="1:2" x14ac:dyDescent="0.2">
      <c r="A12379" t="str">
        <f>"PLXDC1"</f>
        <v>PLXDC1</v>
      </c>
      <c r="B12379" t="s">
        <v>5</v>
      </c>
    </row>
    <row r="12380" spans="1:2" x14ac:dyDescent="0.2">
      <c r="A12380" t="str">
        <f>"PLXDC2"</f>
        <v>PLXDC2</v>
      </c>
      <c r="B12380" t="s">
        <v>5</v>
      </c>
    </row>
    <row r="12381" spans="1:2" x14ac:dyDescent="0.2">
      <c r="A12381" t="str">
        <f>"PLXNA1"</f>
        <v>PLXNA1</v>
      </c>
      <c r="B12381" t="s">
        <v>8</v>
      </c>
    </row>
    <row r="12382" spans="1:2" x14ac:dyDescent="0.2">
      <c r="A12382" t="str">
        <f>"PLXNA2"</f>
        <v>PLXNA2</v>
      </c>
      <c r="B12382" t="s">
        <v>2</v>
      </c>
    </row>
    <row r="12383" spans="1:2" x14ac:dyDescent="0.2">
      <c r="A12383" t="str">
        <f>"PLXNA3"</f>
        <v>PLXNA3</v>
      </c>
      <c r="B12383" t="s">
        <v>8</v>
      </c>
    </row>
    <row r="12384" spans="1:2" x14ac:dyDescent="0.2">
      <c r="A12384" t="str">
        <f>"PLXNA4"</f>
        <v>PLXNA4</v>
      </c>
      <c r="B12384" t="s">
        <v>8</v>
      </c>
    </row>
    <row r="12385" spans="1:2" x14ac:dyDescent="0.2">
      <c r="A12385" t="str">
        <f>"PLXNB1"</f>
        <v>PLXNB1</v>
      </c>
      <c r="B12385" t="s">
        <v>8</v>
      </c>
    </row>
    <row r="12386" spans="1:2" x14ac:dyDescent="0.2">
      <c r="A12386" t="str">
        <f>"PLXNB2"</f>
        <v>PLXNB2</v>
      </c>
      <c r="B12386" t="s">
        <v>2</v>
      </c>
    </row>
    <row r="12387" spans="1:2" x14ac:dyDescent="0.2">
      <c r="A12387" t="str">
        <f>"PLXNB3"</f>
        <v>PLXNB3</v>
      </c>
      <c r="B12387" t="s">
        <v>3</v>
      </c>
    </row>
    <row r="12388" spans="1:2" x14ac:dyDescent="0.2">
      <c r="A12388" t="str">
        <f>"PLXNC1"</f>
        <v>PLXNC1</v>
      </c>
      <c r="B12388" t="s">
        <v>8</v>
      </c>
    </row>
    <row r="12389" spans="1:2" x14ac:dyDescent="0.2">
      <c r="A12389" t="str">
        <f>"PLXND1"</f>
        <v>PLXND1</v>
      </c>
      <c r="B12389" t="s">
        <v>8</v>
      </c>
    </row>
    <row r="12390" spans="1:2" x14ac:dyDescent="0.2">
      <c r="A12390" t="str">
        <f>"PM20D1"</f>
        <v>PM20D1</v>
      </c>
      <c r="B12390" t="s">
        <v>2</v>
      </c>
    </row>
    <row r="12391" spans="1:2" x14ac:dyDescent="0.2">
      <c r="A12391" t="str">
        <f>"PM20D2"</f>
        <v>PM20D2</v>
      </c>
      <c r="B12391" t="s">
        <v>2</v>
      </c>
    </row>
    <row r="12392" spans="1:2" x14ac:dyDescent="0.2">
      <c r="A12392" t="str">
        <f>"PMAIP1"</f>
        <v>PMAIP1</v>
      </c>
      <c r="B12392" t="s">
        <v>3</v>
      </c>
    </row>
    <row r="12393" spans="1:2" x14ac:dyDescent="0.2">
      <c r="A12393" t="str">
        <f>"PMCH"</f>
        <v>PMCH</v>
      </c>
      <c r="B12393" t="s">
        <v>4</v>
      </c>
    </row>
    <row r="12394" spans="1:2" x14ac:dyDescent="0.2">
      <c r="A12394" t="str">
        <f>"PMEL"</f>
        <v>PMEL</v>
      </c>
      <c r="B12394" t="s">
        <v>5</v>
      </c>
    </row>
    <row r="12395" spans="1:2" x14ac:dyDescent="0.2">
      <c r="A12395" t="str">
        <f>"PMEPA1"</f>
        <v>PMEPA1</v>
      </c>
      <c r="B12395" t="s">
        <v>6</v>
      </c>
    </row>
    <row r="12396" spans="1:2" x14ac:dyDescent="0.2">
      <c r="A12396" t="str">
        <f>"PMF1"</f>
        <v>PMF1</v>
      </c>
      <c r="B12396" t="s">
        <v>3</v>
      </c>
    </row>
    <row r="12397" spans="1:2" x14ac:dyDescent="0.2">
      <c r="A12397" t="str">
        <f>"PMF1-BGLAP"</f>
        <v>PMF1-BGLAP</v>
      </c>
      <c r="B12397" t="s">
        <v>4</v>
      </c>
    </row>
    <row r="12398" spans="1:2" x14ac:dyDescent="0.2">
      <c r="A12398" t="str">
        <f>"PMFBP1"</f>
        <v>PMFBP1</v>
      </c>
      <c r="B12398" t="s">
        <v>6</v>
      </c>
    </row>
    <row r="12399" spans="1:2" x14ac:dyDescent="0.2">
      <c r="A12399" t="str">
        <f>"PML"</f>
        <v>PML</v>
      </c>
      <c r="B12399" t="s">
        <v>3</v>
      </c>
    </row>
    <row r="12400" spans="1:2" x14ac:dyDescent="0.2">
      <c r="A12400" t="str">
        <f>"PMM1"</f>
        <v>PMM1</v>
      </c>
      <c r="B12400" t="s">
        <v>3</v>
      </c>
    </row>
    <row r="12401" spans="1:2" x14ac:dyDescent="0.2">
      <c r="A12401" t="str">
        <f>"PMM2"</f>
        <v>PMM2</v>
      </c>
      <c r="B12401" t="s">
        <v>6</v>
      </c>
    </row>
    <row r="12402" spans="1:2" x14ac:dyDescent="0.2">
      <c r="A12402" t="str">
        <f>"PMP2"</f>
        <v>PMP2</v>
      </c>
      <c r="B12402" t="s">
        <v>7</v>
      </c>
    </row>
    <row r="12403" spans="1:2" x14ac:dyDescent="0.2">
      <c r="A12403" t="str">
        <f>"PMP22"</f>
        <v>PMP22</v>
      </c>
      <c r="B12403" t="s">
        <v>3</v>
      </c>
    </row>
    <row r="12404" spans="1:2" x14ac:dyDescent="0.2">
      <c r="A12404" t="str">
        <f>"PMPCA"</f>
        <v>PMPCA</v>
      </c>
      <c r="B12404" t="s">
        <v>2</v>
      </c>
    </row>
    <row r="12405" spans="1:2" x14ac:dyDescent="0.2">
      <c r="A12405" t="str">
        <f>"PMPCB"</f>
        <v>PMPCB</v>
      </c>
      <c r="B12405" t="s">
        <v>2</v>
      </c>
    </row>
    <row r="12406" spans="1:2" x14ac:dyDescent="0.2">
      <c r="A12406" t="str">
        <f>"PMS1"</f>
        <v>PMS1</v>
      </c>
      <c r="B12406" t="s">
        <v>3</v>
      </c>
    </row>
    <row r="12407" spans="1:2" x14ac:dyDescent="0.2">
      <c r="A12407" t="str">
        <f>"PMS2"</f>
        <v>PMS2</v>
      </c>
      <c r="B12407" t="s">
        <v>3</v>
      </c>
    </row>
    <row r="12408" spans="1:2" x14ac:dyDescent="0.2">
      <c r="A12408" t="str">
        <f>"PMVK"</f>
        <v>PMVK</v>
      </c>
      <c r="B12408" t="s">
        <v>7</v>
      </c>
    </row>
    <row r="12409" spans="1:2" x14ac:dyDescent="0.2">
      <c r="A12409" t="str">
        <f>"PNCK"</f>
        <v>PNCK</v>
      </c>
      <c r="B12409" t="s">
        <v>7</v>
      </c>
    </row>
    <row r="12410" spans="1:2" x14ac:dyDescent="0.2">
      <c r="A12410" t="str">
        <f>"PNISR"</f>
        <v>PNISR</v>
      </c>
      <c r="B12410" t="s">
        <v>5</v>
      </c>
    </row>
    <row r="12411" spans="1:2" x14ac:dyDescent="0.2">
      <c r="A12411" t="str">
        <f>"PNKD"</f>
        <v>PNKD</v>
      </c>
      <c r="B12411" t="s">
        <v>2</v>
      </c>
    </row>
    <row r="12412" spans="1:2" x14ac:dyDescent="0.2">
      <c r="A12412" t="str">
        <f>"PNKP"</f>
        <v>PNKP</v>
      </c>
      <c r="B12412" t="s">
        <v>7</v>
      </c>
    </row>
    <row r="12413" spans="1:2" x14ac:dyDescent="0.2">
      <c r="A12413" t="str">
        <f>"PNLDC1"</f>
        <v>PNLDC1</v>
      </c>
      <c r="B12413" t="s">
        <v>5</v>
      </c>
    </row>
    <row r="12414" spans="1:2" x14ac:dyDescent="0.2">
      <c r="A12414" t="str">
        <f>"PNLIP"</f>
        <v>PNLIP</v>
      </c>
      <c r="B12414" t="s">
        <v>7</v>
      </c>
    </row>
    <row r="12415" spans="1:2" x14ac:dyDescent="0.2">
      <c r="A12415" t="str">
        <f>"PNLIPRP1"</f>
        <v>PNLIPRP1</v>
      </c>
      <c r="B12415" t="s">
        <v>6</v>
      </c>
    </row>
    <row r="12416" spans="1:2" x14ac:dyDescent="0.2">
      <c r="A12416" t="str">
        <f>"PNLIPRP2"</f>
        <v>PNLIPRP2</v>
      </c>
      <c r="B12416" t="s">
        <v>7</v>
      </c>
    </row>
    <row r="12417" spans="1:2" x14ac:dyDescent="0.2">
      <c r="A12417" t="str">
        <f>"PNLIPRP3"</f>
        <v>PNLIPRP3</v>
      </c>
      <c r="B12417" t="s">
        <v>2</v>
      </c>
    </row>
    <row r="12418" spans="1:2" x14ac:dyDescent="0.2">
      <c r="A12418" t="str">
        <f>"PNMA1"</f>
        <v>PNMA1</v>
      </c>
      <c r="B12418" t="s">
        <v>8</v>
      </c>
    </row>
    <row r="12419" spans="1:2" x14ac:dyDescent="0.2">
      <c r="A12419" t="str">
        <f>"PNMA2"</f>
        <v>PNMA2</v>
      </c>
      <c r="B12419" t="s">
        <v>4</v>
      </c>
    </row>
    <row r="12420" spans="1:2" x14ac:dyDescent="0.2">
      <c r="A12420" t="str">
        <f>"PNMA3"</f>
        <v>PNMA3</v>
      </c>
      <c r="B12420" t="s">
        <v>4</v>
      </c>
    </row>
    <row r="12421" spans="1:2" x14ac:dyDescent="0.2">
      <c r="A12421" t="str">
        <f>"PNMA5"</f>
        <v>PNMA5</v>
      </c>
      <c r="B12421" t="s">
        <v>3</v>
      </c>
    </row>
    <row r="12422" spans="1:2" x14ac:dyDescent="0.2">
      <c r="A12422" t="str">
        <f>"PNMAL1"</f>
        <v>PNMAL1</v>
      </c>
      <c r="B12422" t="s">
        <v>4</v>
      </c>
    </row>
    <row r="12423" spans="1:2" x14ac:dyDescent="0.2">
      <c r="A12423" t="str">
        <f>"PNMAL2"</f>
        <v>PNMAL2</v>
      </c>
      <c r="B12423" t="s">
        <v>4</v>
      </c>
    </row>
    <row r="12424" spans="1:2" x14ac:dyDescent="0.2">
      <c r="A12424" t="str">
        <f>"PNMT"</f>
        <v>PNMT</v>
      </c>
      <c r="B12424" t="s">
        <v>7</v>
      </c>
    </row>
    <row r="12425" spans="1:2" x14ac:dyDescent="0.2">
      <c r="A12425" t="str">
        <f>"PNN"</f>
        <v>PNN</v>
      </c>
      <c r="B12425" t="s">
        <v>3</v>
      </c>
    </row>
    <row r="12426" spans="1:2" x14ac:dyDescent="0.2">
      <c r="A12426" t="str">
        <f>"PNO1"</f>
        <v>PNO1</v>
      </c>
      <c r="B12426" t="s">
        <v>6</v>
      </c>
    </row>
    <row r="12427" spans="1:2" x14ac:dyDescent="0.2">
      <c r="A12427" t="str">
        <f>"PNOC"</f>
        <v>PNOC</v>
      </c>
      <c r="B12427" t="s">
        <v>4</v>
      </c>
    </row>
    <row r="12428" spans="1:2" x14ac:dyDescent="0.2">
      <c r="A12428" t="str">
        <f>"PNP"</f>
        <v>PNP</v>
      </c>
      <c r="B12428" t="s">
        <v>7</v>
      </c>
    </row>
    <row r="12429" spans="1:2" x14ac:dyDescent="0.2">
      <c r="A12429" t="str">
        <f>"PNPLA1"</f>
        <v>PNPLA1</v>
      </c>
      <c r="B12429" t="s">
        <v>2</v>
      </c>
    </row>
    <row r="12430" spans="1:2" x14ac:dyDescent="0.2">
      <c r="A12430" t="str">
        <f>"PNPLA2"</f>
        <v>PNPLA2</v>
      </c>
      <c r="B12430" t="s">
        <v>6</v>
      </c>
    </row>
    <row r="12431" spans="1:2" x14ac:dyDescent="0.2">
      <c r="A12431" t="str">
        <f>"PNPLA3"</f>
        <v>PNPLA3</v>
      </c>
      <c r="B12431" t="s">
        <v>3</v>
      </c>
    </row>
    <row r="12432" spans="1:2" x14ac:dyDescent="0.2">
      <c r="A12432" t="str">
        <f>"PNPLA4"</f>
        <v>PNPLA4</v>
      </c>
      <c r="B12432" t="s">
        <v>6</v>
      </c>
    </row>
    <row r="12433" spans="1:2" x14ac:dyDescent="0.2">
      <c r="A12433" t="str">
        <f>"PNPLA5"</f>
        <v>PNPLA5</v>
      </c>
      <c r="B12433" t="s">
        <v>2</v>
      </c>
    </row>
    <row r="12434" spans="1:2" x14ac:dyDescent="0.2">
      <c r="A12434" t="str">
        <f>"PNPLA6"</f>
        <v>PNPLA6</v>
      </c>
      <c r="B12434" t="s">
        <v>2</v>
      </c>
    </row>
    <row r="12435" spans="1:2" x14ac:dyDescent="0.2">
      <c r="A12435" t="str">
        <f>"PNPLA7"</f>
        <v>PNPLA7</v>
      </c>
      <c r="B12435" t="s">
        <v>2</v>
      </c>
    </row>
    <row r="12436" spans="1:2" x14ac:dyDescent="0.2">
      <c r="A12436" t="str">
        <f>"PNPLA8"</f>
        <v>PNPLA8</v>
      </c>
      <c r="B12436" t="s">
        <v>6</v>
      </c>
    </row>
    <row r="12437" spans="1:2" x14ac:dyDescent="0.2">
      <c r="A12437" t="str">
        <f>"PNPO"</f>
        <v>PNPO</v>
      </c>
      <c r="B12437" t="s">
        <v>7</v>
      </c>
    </row>
    <row r="12438" spans="1:2" x14ac:dyDescent="0.2">
      <c r="A12438" t="str">
        <f>"PNPT1"</f>
        <v>PNPT1</v>
      </c>
      <c r="B12438" t="s">
        <v>6</v>
      </c>
    </row>
    <row r="12439" spans="1:2" x14ac:dyDescent="0.2">
      <c r="A12439" t="str">
        <f>"PNRC1"</f>
        <v>PNRC1</v>
      </c>
      <c r="B12439" t="s">
        <v>8</v>
      </c>
    </row>
    <row r="12440" spans="1:2" x14ac:dyDescent="0.2">
      <c r="A12440" t="str">
        <f>"PNRC2"</f>
        <v>PNRC2</v>
      </c>
      <c r="B12440" t="s">
        <v>8</v>
      </c>
    </row>
    <row r="12441" spans="1:2" x14ac:dyDescent="0.2">
      <c r="A12441" t="str">
        <f>"POC1A"</f>
        <v>POC1A</v>
      </c>
      <c r="B12441" t="s">
        <v>2</v>
      </c>
    </row>
    <row r="12442" spans="1:2" x14ac:dyDescent="0.2">
      <c r="A12442" t="str">
        <f>"POC1B"</f>
        <v>POC1B</v>
      </c>
      <c r="B12442" t="s">
        <v>2</v>
      </c>
    </row>
    <row r="12443" spans="1:2" x14ac:dyDescent="0.2">
      <c r="A12443" t="str">
        <f>"POC1B-GALNT4"</f>
        <v>POC1B-GALNT4</v>
      </c>
      <c r="B12443" t="s">
        <v>4</v>
      </c>
    </row>
    <row r="12444" spans="1:2" x14ac:dyDescent="0.2">
      <c r="A12444" t="str">
        <f>"POC5"</f>
        <v>POC5</v>
      </c>
      <c r="B12444" t="s">
        <v>4</v>
      </c>
    </row>
    <row r="12445" spans="1:2" x14ac:dyDescent="0.2">
      <c r="A12445" t="str">
        <f>"PODN"</f>
        <v>PODN</v>
      </c>
      <c r="B12445" t="s">
        <v>2</v>
      </c>
    </row>
    <row r="12446" spans="1:2" x14ac:dyDescent="0.2">
      <c r="A12446" t="str">
        <f>"PODNL1"</f>
        <v>PODNL1</v>
      </c>
      <c r="B12446" t="s">
        <v>4</v>
      </c>
    </row>
    <row r="12447" spans="1:2" x14ac:dyDescent="0.2">
      <c r="A12447" t="str">
        <f>"PODXL"</f>
        <v>PODXL</v>
      </c>
      <c r="B12447" t="s">
        <v>5</v>
      </c>
    </row>
    <row r="12448" spans="1:2" x14ac:dyDescent="0.2">
      <c r="A12448" t="str">
        <f>"PODXL2"</f>
        <v>PODXL2</v>
      </c>
      <c r="B12448" t="s">
        <v>5</v>
      </c>
    </row>
    <row r="12449" spans="1:2" x14ac:dyDescent="0.2">
      <c r="A12449" t="str">
        <f>"POF1B"</f>
        <v>POF1B</v>
      </c>
      <c r="B12449" t="s">
        <v>4</v>
      </c>
    </row>
    <row r="12450" spans="1:2" x14ac:dyDescent="0.2">
      <c r="A12450" t="str">
        <f>"POFUT1"</f>
        <v>POFUT1</v>
      </c>
      <c r="B12450" t="s">
        <v>3</v>
      </c>
    </row>
    <row r="12451" spans="1:2" x14ac:dyDescent="0.2">
      <c r="A12451" t="str">
        <f>"POFUT2"</f>
        <v>POFUT2</v>
      </c>
      <c r="B12451" t="s">
        <v>2</v>
      </c>
    </row>
    <row r="12452" spans="1:2" x14ac:dyDescent="0.2">
      <c r="A12452" t="str">
        <f>"POGK"</f>
        <v>POGK</v>
      </c>
      <c r="B12452" t="s">
        <v>3</v>
      </c>
    </row>
    <row r="12453" spans="1:2" x14ac:dyDescent="0.2">
      <c r="A12453" t="str">
        <f>"POGLUT1"</f>
        <v>POGLUT1</v>
      </c>
      <c r="B12453" t="s">
        <v>6</v>
      </c>
    </row>
    <row r="12454" spans="1:2" x14ac:dyDescent="0.2">
      <c r="A12454" t="str">
        <f>"POGZ"</f>
        <v>POGZ</v>
      </c>
      <c r="B12454" t="s">
        <v>8</v>
      </c>
    </row>
    <row r="12455" spans="1:2" x14ac:dyDescent="0.2">
      <c r="A12455" t="str">
        <f>"POLA1"</f>
        <v>POLA1</v>
      </c>
      <c r="B12455" t="s">
        <v>3</v>
      </c>
    </row>
    <row r="12456" spans="1:2" x14ac:dyDescent="0.2">
      <c r="A12456" t="str">
        <f>"POLA2"</f>
        <v>POLA2</v>
      </c>
      <c r="B12456" t="s">
        <v>3</v>
      </c>
    </row>
    <row r="12457" spans="1:2" x14ac:dyDescent="0.2">
      <c r="A12457" t="str">
        <f>"POLB"</f>
        <v>POLB</v>
      </c>
      <c r="B12457" t="s">
        <v>3</v>
      </c>
    </row>
    <row r="12458" spans="1:2" x14ac:dyDescent="0.2">
      <c r="A12458" t="str">
        <f>"POLD1"</f>
        <v>POLD1</v>
      </c>
      <c r="B12458" t="s">
        <v>3</v>
      </c>
    </row>
    <row r="12459" spans="1:2" x14ac:dyDescent="0.2">
      <c r="A12459" t="str">
        <f>"POLD2"</f>
        <v>POLD2</v>
      </c>
      <c r="B12459" t="s">
        <v>3</v>
      </c>
    </row>
    <row r="12460" spans="1:2" x14ac:dyDescent="0.2">
      <c r="A12460" t="str">
        <f>"POLD3"</f>
        <v>POLD3</v>
      </c>
      <c r="B12460" t="s">
        <v>3</v>
      </c>
    </row>
    <row r="12461" spans="1:2" x14ac:dyDescent="0.2">
      <c r="A12461" t="str">
        <f>"POLD4"</f>
        <v>POLD4</v>
      </c>
      <c r="B12461" t="s">
        <v>3</v>
      </c>
    </row>
    <row r="12462" spans="1:2" x14ac:dyDescent="0.2">
      <c r="A12462" t="str">
        <f>"POLDIP2"</f>
        <v>POLDIP2</v>
      </c>
      <c r="B12462" t="s">
        <v>6</v>
      </c>
    </row>
    <row r="12463" spans="1:2" x14ac:dyDescent="0.2">
      <c r="A12463" t="str">
        <f>"POLDIP3"</f>
        <v>POLDIP3</v>
      </c>
      <c r="B12463" t="s">
        <v>8</v>
      </c>
    </row>
    <row r="12464" spans="1:2" x14ac:dyDescent="0.2">
      <c r="A12464" t="str">
        <f>"POLE"</f>
        <v>POLE</v>
      </c>
      <c r="B12464" t="s">
        <v>3</v>
      </c>
    </row>
    <row r="12465" spans="1:2" x14ac:dyDescent="0.2">
      <c r="A12465" t="str">
        <f>"POLE2"</f>
        <v>POLE2</v>
      </c>
      <c r="B12465" t="s">
        <v>3</v>
      </c>
    </row>
    <row r="12466" spans="1:2" x14ac:dyDescent="0.2">
      <c r="A12466" t="str">
        <f>"POLE3"</f>
        <v>POLE3</v>
      </c>
      <c r="B12466" t="s">
        <v>3</v>
      </c>
    </row>
    <row r="12467" spans="1:2" x14ac:dyDescent="0.2">
      <c r="A12467" t="str">
        <f>"POLE4"</f>
        <v>POLE4</v>
      </c>
      <c r="B12467" t="s">
        <v>3</v>
      </c>
    </row>
    <row r="12468" spans="1:2" x14ac:dyDescent="0.2">
      <c r="A12468" t="str">
        <f>"POLG"</f>
        <v>POLG</v>
      </c>
      <c r="B12468" t="s">
        <v>3</v>
      </c>
    </row>
    <row r="12469" spans="1:2" x14ac:dyDescent="0.2">
      <c r="A12469" t="str">
        <f>"POLG2"</f>
        <v>POLG2</v>
      </c>
      <c r="B12469" t="s">
        <v>6</v>
      </c>
    </row>
    <row r="12470" spans="1:2" x14ac:dyDescent="0.2">
      <c r="A12470" t="str">
        <f>"POLH"</f>
        <v>POLH</v>
      </c>
      <c r="B12470" t="s">
        <v>3</v>
      </c>
    </row>
    <row r="12471" spans="1:2" x14ac:dyDescent="0.2">
      <c r="A12471" t="str">
        <f>"POLI"</f>
        <v>POLI</v>
      </c>
      <c r="B12471" t="s">
        <v>3</v>
      </c>
    </row>
    <row r="12472" spans="1:2" x14ac:dyDescent="0.2">
      <c r="A12472" t="str">
        <f>"POLK"</f>
        <v>POLK</v>
      </c>
      <c r="B12472" t="s">
        <v>3</v>
      </c>
    </row>
    <row r="12473" spans="1:2" x14ac:dyDescent="0.2">
      <c r="A12473" t="str">
        <f>"POLL"</f>
        <v>POLL</v>
      </c>
      <c r="B12473" t="s">
        <v>3</v>
      </c>
    </row>
    <row r="12474" spans="1:2" x14ac:dyDescent="0.2">
      <c r="A12474" t="str">
        <f>"POLM"</f>
        <v>POLM</v>
      </c>
      <c r="B12474" t="s">
        <v>3</v>
      </c>
    </row>
    <row r="12475" spans="1:2" x14ac:dyDescent="0.2">
      <c r="A12475" t="str">
        <f>"POLN"</f>
        <v>POLN</v>
      </c>
      <c r="B12475" t="s">
        <v>3</v>
      </c>
    </row>
    <row r="12476" spans="1:2" x14ac:dyDescent="0.2">
      <c r="A12476" t="str">
        <f>"POLQ"</f>
        <v>POLQ</v>
      </c>
      <c r="B12476" t="s">
        <v>6</v>
      </c>
    </row>
    <row r="12477" spans="1:2" x14ac:dyDescent="0.2">
      <c r="A12477" t="str">
        <f>"POLR1A"</f>
        <v>POLR1A</v>
      </c>
      <c r="B12477" t="s">
        <v>3</v>
      </c>
    </row>
    <row r="12478" spans="1:2" x14ac:dyDescent="0.2">
      <c r="A12478" t="str">
        <f>"POLR1B"</f>
        <v>POLR1B</v>
      </c>
      <c r="B12478" t="s">
        <v>3</v>
      </c>
    </row>
    <row r="12479" spans="1:2" x14ac:dyDescent="0.2">
      <c r="A12479" t="str">
        <f>"POLR1C"</f>
        <v>POLR1C</v>
      </c>
      <c r="B12479" t="s">
        <v>3</v>
      </c>
    </row>
    <row r="12480" spans="1:2" x14ac:dyDescent="0.2">
      <c r="A12480" t="str">
        <f>"POLR1D"</f>
        <v>POLR1D</v>
      </c>
      <c r="B12480" t="s">
        <v>3</v>
      </c>
    </row>
    <row r="12481" spans="1:2" x14ac:dyDescent="0.2">
      <c r="A12481" t="str">
        <f>"POLR1E"</f>
        <v>POLR1E</v>
      </c>
      <c r="B12481" t="s">
        <v>8</v>
      </c>
    </row>
    <row r="12482" spans="1:2" x14ac:dyDescent="0.2">
      <c r="A12482" t="str">
        <f>"POLR2A"</f>
        <v>POLR2A</v>
      </c>
      <c r="B12482" t="s">
        <v>3</v>
      </c>
    </row>
    <row r="12483" spans="1:2" x14ac:dyDescent="0.2">
      <c r="A12483" t="str">
        <f>"POLR2B"</f>
        <v>POLR2B</v>
      </c>
      <c r="B12483" t="s">
        <v>3</v>
      </c>
    </row>
    <row r="12484" spans="1:2" x14ac:dyDescent="0.2">
      <c r="A12484" t="str">
        <f>"POLR2C"</f>
        <v>POLR2C</v>
      </c>
      <c r="B12484" t="s">
        <v>3</v>
      </c>
    </row>
    <row r="12485" spans="1:2" x14ac:dyDescent="0.2">
      <c r="A12485" t="str">
        <f>"POLR2D"</f>
        <v>POLR2D</v>
      </c>
      <c r="B12485" t="s">
        <v>3</v>
      </c>
    </row>
    <row r="12486" spans="1:2" x14ac:dyDescent="0.2">
      <c r="A12486" t="str">
        <f>"POLR2E"</f>
        <v>POLR2E</v>
      </c>
      <c r="B12486" t="s">
        <v>3</v>
      </c>
    </row>
    <row r="12487" spans="1:2" x14ac:dyDescent="0.2">
      <c r="A12487" t="str">
        <f>"POLR2F"</f>
        <v>POLR2F</v>
      </c>
      <c r="B12487" t="s">
        <v>3</v>
      </c>
    </row>
    <row r="12488" spans="1:2" x14ac:dyDescent="0.2">
      <c r="A12488" t="str">
        <f>"POLR2G"</f>
        <v>POLR2G</v>
      </c>
      <c r="B12488" t="s">
        <v>3</v>
      </c>
    </row>
    <row r="12489" spans="1:2" x14ac:dyDescent="0.2">
      <c r="A12489" t="str">
        <f>"POLR2H"</f>
        <v>POLR2H</v>
      </c>
      <c r="B12489" t="s">
        <v>3</v>
      </c>
    </row>
    <row r="12490" spans="1:2" x14ac:dyDescent="0.2">
      <c r="A12490" t="str">
        <f>"POLR2I"</f>
        <v>POLR2I</v>
      </c>
      <c r="B12490" t="s">
        <v>3</v>
      </c>
    </row>
    <row r="12491" spans="1:2" x14ac:dyDescent="0.2">
      <c r="A12491" t="str">
        <f>"POLR2J2"</f>
        <v>POLR2J2</v>
      </c>
      <c r="B12491" t="s">
        <v>8</v>
      </c>
    </row>
    <row r="12492" spans="1:2" x14ac:dyDescent="0.2">
      <c r="A12492" t="str">
        <f>"POLR2J3"</f>
        <v>POLR2J3</v>
      </c>
      <c r="B12492" t="s">
        <v>4</v>
      </c>
    </row>
    <row r="12493" spans="1:2" x14ac:dyDescent="0.2">
      <c r="A12493" t="str">
        <f>"POLR2K"</f>
        <v>POLR2K</v>
      </c>
      <c r="B12493" t="s">
        <v>3</v>
      </c>
    </row>
    <row r="12494" spans="1:2" x14ac:dyDescent="0.2">
      <c r="A12494" t="str">
        <f>"POLR2L"</f>
        <v>POLR2L</v>
      </c>
      <c r="B12494" t="s">
        <v>3</v>
      </c>
    </row>
    <row r="12495" spans="1:2" x14ac:dyDescent="0.2">
      <c r="A12495" t="str">
        <f>"POLR2M"</f>
        <v>POLR2M</v>
      </c>
      <c r="B12495" t="s">
        <v>4</v>
      </c>
    </row>
    <row r="12496" spans="1:2" x14ac:dyDescent="0.2">
      <c r="A12496" t="str">
        <f>"POLR3A"</f>
        <v>POLR3A</v>
      </c>
      <c r="B12496" t="s">
        <v>3</v>
      </c>
    </row>
    <row r="12497" spans="1:2" x14ac:dyDescent="0.2">
      <c r="A12497" t="str">
        <f>"POLR3B"</f>
        <v>POLR3B</v>
      </c>
      <c r="B12497" t="s">
        <v>3</v>
      </c>
    </row>
    <row r="12498" spans="1:2" x14ac:dyDescent="0.2">
      <c r="A12498" t="str">
        <f>"POLR3C"</f>
        <v>POLR3C</v>
      </c>
      <c r="B12498" t="s">
        <v>8</v>
      </c>
    </row>
    <row r="12499" spans="1:2" x14ac:dyDescent="0.2">
      <c r="A12499" t="str">
        <f>"POLR3D"</f>
        <v>POLR3D</v>
      </c>
      <c r="B12499" t="s">
        <v>3</v>
      </c>
    </row>
    <row r="12500" spans="1:2" x14ac:dyDescent="0.2">
      <c r="A12500" t="str">
        <f>"POLR3E"</f>
        <v>POLR3E</v>
      </c>
      <c r="B12500" t="s">
        <v>8</v>
      </c>
    </row>
    <row r="12501" spans="1:2" x14ac:dyDescent="0.2">
      <c r="A12501" t="str">
        <f>"POLR3F"</f>
        <v>POLR3F</v>
      </c>
      <c r="B12501" t="s">
        <v>3</v>
      </c>
    </row>
    <row r="12502" spans="1:2" x14ac:dyDescent="0.2">
      <c r="A12502" t="str">
        <f>"POLR3G"</f>
        <v>POLR3G</v>
      </c>
      <c r="B12502" t="s">
        <v>3</v>
      </c>
    </row>
    <row r="12503" spans="1:2" x14ac:dyDescent="0.2">
      <c r="A12503" t="str">
        <f>"POLR3GL"</f>
        <v>POLR3GL</v>
      </c>
      <c r="B12503" t="s">
        <v>3</v>
      </c>
    </row>
    <row r="12504" spans="1:2" x14ac:dyDescent="0.2">
      <c r="A12504" t="str">
        <f>"POLR3H"</f>
        <v>POLR3H</v>
      </c>
      <c r="B12504" t="s">
        <v>3</v>
      </c>
    </row>
    <row r="12505" spans="1:2" x14ac:dyDescent="0.2">
      <c r="A12505" t="str">
        <f>"POLR3K"</f>
        <v>POLR3K</v>
      </c>
      <c r="B12505" t="s">
        <v>3</v>
      </c>
    </row>
    <row r="12506" spans="1:2" x14ac:dyDescent="0.2">
      <c r="A12506" t="str">
        <f>"POLRMT"</f>
        <v>POLRMT</v>
      </c>
      <c r="B12506" t="s">
        <v>3</v>
      </c>
    </row>
    <row r="12507" spans="1:2" x14ac:dyDescent="0.2">
      <c r="A12507" t="str">
        <f>"POM121"</f>
        <v>POM121</v>
      </c>
      <c r="B12507" t="s">
        <v>6</v>
      </c>
    </row>
    <row r="12508" spans="1:2" x14ac:dyDescent="0.2">
      <c r="A12508" t="str">
        <f>"POM121C"</f>
        <v>POM121C</v>
      </c>
      <c r="B12508" t="s">
        <v>5</v>
      </c>
    </row>
    <row r="12509" spans="1:2" x14ac:dyDescent="0.2">
      <c r="A12509" t="str">
        <f>"POM121L12"</f>
        <v>POM121L12</v>
      </c>
      <c r="B12509" t="s">
        <v>4</v>
      </c>
    </row>
    <row r="12510" spans="1:2" x14ac:dyDescent="0.2">
      <c r="A12510" t="str">
        <f>"POM121L2"</f>
        <v>POM121L2</v>
      </c>
      <c r="B12510" t="s">
        <v>4</v>
      </c>
    </row>
    <row r="12511" spans="1:2" x14ac:dyDescent="0.2">
      <c r="A12511" t="str">
        <f>"POMC"</f>
        <v>POMC</v>
      </c>
      <c r="B12511" t="s">
        <v>7</v>
      </c>
    </row>
    <row r="12512" spans="1:2" x14ac:dyDescent="0.2">
      <c r="A12512" t="str">
        <f>"POMGNT1"</f>
        <v>POMGNT1</v>
      </c>
      <c r="B12512" t="s">
        <v>6</v>
      </c>
    </row>
    <row r="12513" spans="1:2" x14ac:dyDescent="0.2">
      <c r="A12513" t="str">
        <f>"POMGNT2"</f>
        <v>POMGNT2</v>
      </c>
      <c r="B12513" t="s">
        <v>6</v>
      </c>
    </row>
    <row r="12514" spans="1:2" x14ac:dyDescent="0.2">
      <c r="A12514" t="str">
        <f>"POMP"</f>
        <v>POMP</v>
      </c>
      <c r="B12514" t="s">
        <v>3</v>
      </c>
    </row>
    <row r="12515" spans="1:2" x14ac:dyDescent="0.2">
      <c r="A12515" t="str">
        <f>"POMT1"</f>
        <v>POMT1</v>
      </c>
      <c r="B12515" t="s">
        <v>6</v>
      </c>
    </row>
    <row r="12516" spans="1:2" x14ac:dyDescent="0.2">
      <c r="A12516" t="str">
        <f>"POMT2"</f>
        <v>POMT2</v>
      </c>
      <c r="B12516" t="s">
        <v>6</v>
      </c>
    </row>
    <row r="12517" spans="1:2" x14ac:dyDescent="0.2">
      <c r="A12517" t="str">
        <f>"POMZP3"</f>
        <v>POMZP3</v>
      </c>
      <c r="B12517" t="s">
        <v>4</v>
      </c>
    </row>
    <row r="12518" spans="1:2" x14ac:dyDescent="0.2">
      <c r="A12518" t="str">
        <f>"PON1"</f>
        <v>PON1</v>
      </c>
      <c r="B12518" t="s">
        <v>7</v>
      </c>
    </row>
    <row r="12519" spans="1:2" x14ac:dyDescent="0.2">
      <c r="A12519" t="str">
        <f>"PON2"</f>
        <v>PON2</v>
      </c>
      <c r="B12519" t="s">
        <v>6</v>
      </c>
    </row>
    <row r="12520" spans="1:2" x14ac:dyDescent="0.2">
      <c r="A12520" t="str">
        <f>"PON3"</f>
        <v>PON3</v>
      </c>
      <c r="B12520" t="s">
        <v>3</v>
      </c>
    </row>
    <row r="12521" spans="1:2" x14ac:dyDescent="0.2">
      <c r="A12521" t="str">
        <f>"POP1"</f>
        <v>POP1</v>
      </c>
      <c r="B12521" t="s">
        <v>2</v>
      </c>
    </row>
    <row r="12522" spans="1:2" x14ac:dyDescent="0.2">
      <c r="A12522" t="str">
        <f>"POP4"</f>
        <v>POP4</v>
      </c>
      <c r="B12522" t="s">
        <v>8</v>
      </c>
    </row>
    <row r="12523" spans="1:2" x14ac:dyDescent="0.2">
      <c r="A12523" t="str">
        <f>"POP5"</f>
        <v>POP5</v>
      </c>
      <c r="B12523" t="s">
        <v>8</v>
      </c>
    </row>
    <row r="12524" spans="1:2" x14ac:dyDescent="0.2">
      <c r="A12524" t="str">
        <f>"POP7"</f>
        <v>POP7</v>
      </c>
      <c r="B12524" t="s">
        <v>8</v>
      </c>
    </row>
    <row r="12525" spans="1:2" x14ac:dyDescent="0.2">
      <c r="A12525" t="str">
        <f>"POPDC2"</f>
        <v>POPDC2</v>
      </c>
      <c r="B12525" t="s">
        <v>4</v>
      </c>
    </row>
    <row r="12526" spans="1:2" x14ac:dyDescent="0.2">
      <c r="A12526" t="str">
        <f>"POPDC3"</f>
        <v>POPDC3</v>
      </c>
      <c r="B12526" t="s">
        <v>3</v>
      </c>
    </row>
    <row r="12527" spans="1:2" x14ac:dyDescent="0.2">
      <c r="A12527" t="str">
        <f>"POR"</f>
        <v>POR</v>
      </c>
      <c r="B12527" t="s">
        <v>7</v>
      </c>
    </row>
    <row r="12528" spans="1:2" x14ac:dyDescent="0.2">
      <c r="A12528" t="str">
        <f>"PORCN"</f>
        <v>PORCN</v>
      </c>
      <c r="B12528" t="s">
        <v>6</v>
      </c>
    </row>
    <row r="12529" spans="1:2" x14ac:dyDescent="0.2">
      <c r="A12529" t="str">
        <f>"POSTN"</f>
        <v>POSTN</v>
      </c>
      <c r="B12529" t="s">
        <v>3</v>
      </c>
    </row>
    <row r="12530" spans="1:2" x14ac:dyDescent="0.2">
      <c r="A12530" t="str">
        <f>"POT1"</f>
        <v>POT1</v>
      </c>
      <c r="B12530" t="s">
        <v>8</v>
      </c>
    </row>
    <row r="12531" spans="1:2" x14ac:dyDescent="0.2">
      <c r="A12531" t="str">
        <f>"POTEC"</f>
        <v>POTEC</v>
      </c>
      <c r="B12531" t="s">
        <v>4</v>
      </c>
    </row>
    <row r="12532" spans="1:2" x14ac:dyDescent="0.2">
      <c r="A12532" t="str">
        <f>"POTED"</f>
        <v>POTED</v>
      </c>
      <c r="B12532" t="s">
        <v>3</v>
      </c>
    </row>
    <row r="12533" spans="1:2" x14ac:dyDescent="0.2">
      <c r="A12533" t="str">
        <f>"POTEF"</f>
        <v>POTEF</v>
      </c>
      <c r="B12533" t="s">
        <v>6</v>
      </c>
    </row>
    <row r="12534" spans="1:2" x14ac:dyDescent="0.2">
      <c r="A12534" t="str">
        <f>"POTEI"</f>
        <v>POTEI</v>
      </c>
      <c r="B12534" t="s">
        <v>4</v>
      </c>
    </row>
    <row r="12535" spans="1:2" x14ac:dyDescent="0.2">
      <c r="A12535" t="str">
        <f>"POU1F1"</f>
        <v>POU1F1</v>
      </c>
      <c r="B12535" t="s">
        <v>6</v>
      </c>
    </row>
    <row r="12536" spans="1:2" x14ac:dyDescent="0.2">
      <c r="A12536" t="str">
        <f>"POU2AF1"</f>
        <v>POU2AF1</v>
      </c>
      <c r="B12536" t="s">
        <v>3</v>
      </c>
    </row>
    <row r="12537" spans="1:2" x14ac:dyDescent="0.2">
      <c r="A12537" t="str">
        <f>"POU2F1"</f>
        <v>POU2F1</v>
      </c>
      <c r="B12537" t="s">
        <v>8</v>
      </c>
    </row>
    <row r="12538" spans="1:2" x14ac:dyDescent="0.2">
      <c r="A12538" t="str">
        <f>"POU2F2"</f>
        <v>POU2F2</v>
      </c>
      <c r="B12538" t="s">
        <v>8</v>
      </c>
    </row>
    <row r="12539" spans="1:2" x14ac:dyDescent="0.2">
      <c r="A12539" t="str">
        <f>"POU2F3"</f>
        <v>POU2F3</v>
      </c>
      <c r="B12539" t="s">
        <v>8</v>
      </c>
    </row>
    <row r="12540" spans="1:2" x14ac:dyDescent="0.2">
      <c r="A12540" t="str">
        <f>"POU3F1"</f>
        <v>POU3F1</v>
      </c>
      <c r="B12540" t="s">
        <v>8</v>
      </c>
    </row>
    <row r="12541" spans="1:2" x14ac:dyDescent="0.2">
      <c r="A12541" t="str">
        <f>"POU3F2"</f>
        <v>POU3F2</v>
      </c>
      <c r="B12541" t="s">
        <v>8</v>
      </c>
    </row>
    <row r="12542" spans="1:2" x14ac:dyDescent="0.2">
      <c r="A12542" t="str">
        <f>"POU3F3"</f>
        <v>POU3F3</v>
      </c>
      <c r="B12542" t="s">
        <v>8</v>
      </c>
    </row>
    <row r="12543" spans="1:2" x14ac:dyDescent="0.2">
      <c r="A12543" t="str">
        <f>"POU3F4"</f>
        <v>POU3F4</v>
      </c>
      <c r="B12543" t="s">
        <v>8</v>
      </c>
    </row>
    <row r="12544" spans="1:2" x14ac:dyDescent="0.2">
      <c r="A12544" t="str">
        <f>"POU4F1"</f>
        <v>POU4F1</v>
      </c>
      <c r="B12544" t="s">
        <v>3</v>
      </c>
    </row>
    <row r="12545" spans="1:2" x14ac:dyDescent="0.2">
      <c r="A12545" t="str">
        <f>"POU4F2"</f>
        <v>POU4F2</v>
      </c>
      <c r="B12545" t="s">
        <v>8</v>
      </c>
    </row>
    <row r="12546" spans="1:2" x14ac:dyDescent="0.2">
      <c r="A12546" t="str">
        <f>"POU4F3"</f>
        <v>POU4F3</v>
      </c>
      <c r="B12546" t="s">
        <v>8</v>
      </c>
    </row>
    <row r="12547" spans="1:2" x14ac:dyDescent="0.2">
      <c r="A12547" t="str">
        <f>"POU5F1"</f>
        <v>POU5F1</v>
      </c>
      <c r="B12547" t="s">
        <v>3</v>
      </c>
    </row>
    <row r="12548" spans="1:2" x14ac:dyDescent="0.2">
      <c r="A12548" t="str">
        <f>"POU5F1B"</f>
        <v>POU5F1B</v>
      </c>
      <c r="B12548" t="s">
        <v>8</v>
      </c>
    </row>
    <row r="12549" spans="1:2" x14ac:dyDescent="0.2">
      <c r="A12549" t="str">
        <f>"POU5F2"</f>
        <v>POU5F2</v>
      </c>
      <c r="B12549" t="s">
        <v>8</v>
      </c>
    </row>
    <row r="12550" spans="1:2" x14ac:dyDescent="0.2">
      <c r="A12550" t="str">
        <f>"POU6F1"</f>
        <v>POU6F1</v>
      </c>
      <c r="B12550" t="s">
        <v>8</v>
      </c>
    </row>
    <row r="12551" spans="1:2" x14ac:dyDescent="0.2">
      <c r="A12551" t="str">
        <f>"POU6F2"</f>
        <v>POU6F2</v>
      </c>
      <c r="B12551" t="s">
        <v>8</v>
      </c>
    </row>
    <row r="12552" spans="1:2" x14ac:dyDescent="0.2">
      <c r="A12552" t="str">
        <f>"PP2D1"</f>
        <v>PP2D1</v>
      </c>
      <c r="B12552" t="s">
        <v>6</v>
      </c>
    </row>
    <row r="12553" spans="1:2" x14ac:dyDescent="0.2">
      <c r="A12553" t="str">
        <f>"PPA1"</f>
        <v>PPA1</v>
      </c>
      <c r="B12553" t="s">
        <v>7</v>
      </c>
    </row>
    <row r="12554" spans="1:2" x14ac:dyDescent="0.2">
      <c r="A12554" t="str">
        <f>"PPA2"</f>
        <v>PPA2</v>
      </c>
      <c r="B12554" t="s">
        <v>6</v>
      </c>
    </row>
    <row r="12555" spans="1:2" x14ac:dyDescent="0.2">
      <c r="A12555" t="str">
        <f>"PPAN"</f>
        <v>PPAN</v>
      </c>
      <c r="B12555" t="s">
        <v>6</v>
      </c>
    </row>
    <row r="12556" spans="1:2" x14ac:dyDescent="0.2">
      <c r="A12556" t="str">
        <f>"PPAN-P2RY11"</f>
        <v>PPAN-P2RY11</v>
      </c>
      <c r="B12556" t="s">
        <v>4</v>
      </c>
    </row>
    <row r="12557" spans="1:2" x14ac:dyDescent="0.2">
      <c r="A12557" t="str">
        <f>"PPAP2A"</f>
        <v>PPAP2A</v>
      </c>
      <c r="B12557" t="s">
        <v>7</v>
      </c>
    </row>
    <row r="12558" spans="1:2" x14ac:dyDescent="0.2">
      <c r="A12558" t="str">
        <f>"PPAP2B"</f>
        <v>PPAP2B</v>
      </c>
      <c r="B12558" t="s">
        <v>7</v>
      </c>
    </row>
    <row r="12559" spans="1:2" x14ac:dyDescent="0.2">
      <c r="A12559" t="str">
        <f>"PPAP2C"</f>
        <v>PPAP2C</v>
      </c>
      <c r="B12559" t="s">
        <v>7</v>
      </c>
    </row>
    <row r="12560" spans="1:2" x14ac:dyDescent="0.2">
      <c r="A12560" t="str">
        <f>"PPAPDC1A"</f>
        <v>PPAPDC1A</v>
      </c>
      <c r="B12560" t="s">
        <v>5</v>
      </c>
    </row>
    <row r="12561" spans="1:2" x14ac:dyDescent="0.2">
      <c r="A12561" t="str">
        <f>"PPAPDC1B"</f>
        <v>PPAPDC1B</v>
      </c>
      <c r="B12561" t="s">
        <v>3</v>
      </c>
    </row>
    <row r="12562" spans="1:2" x14ac:dyDescent="0.2">
      <c r="A12562" t="str">
        <f>"PPAPDC2"</f>
        <v>PPAPDC2</v>
      </c>
      <c r="B12562" t="s">
        <v>5</v>
      </c>
    </row>
    <row r="12563" spans="1:2" x14ac:dyDescent="0.2">
      <c r="A12563" t="str">
        <f>"PPAPDC3"</f>
        <v>PPAPDC3</v>
      </c>
      <c r="B12563" t="s">
        <v>5</v>
      </c>
    </row>
    <row r="12564" spans="1:2" x14ac:dyDescent="0.2">
      <c r="A12564" t="str">
        <f>"PPARA"</f>
        <v>PPARA</v>
      </c>
      <c r="B12564" t="s">
        <v>3</v>
      </c>
    </row>
    <row r="12565" spans="1:2" x14ac:dyDescent="0.2">
      <c r="A12565" t="str">
        <f>"PPARD"</f>
        <v>PPARD</v>
      </c>
      <c r="B12565" t="s">
        <v>7</v>
      </c>
    </row>
    <row r="12566" spans="1:2" x14ac:dyDescent="0.2">
      <c r="A12566" t="str">
        <f>"PPARG"</f>
        <v>PPARG</v>
      </c>
      <c r="B12566" t="s">
        <v>3</v>
      </c>
    </row>
    <row r="12567" spans="1:2" x14ac:dyDescent="0.2">
      <c r="A12567" t="str">
        <f>"PPARGC1A"</f>
        <v>PPARGC1A</v>
      </c>
      <c r="B12567" t="s">
        <v>3</v>
      </c>
    </row>
    <row r="12568" spans="1:2" x14ac:dyDescent="0.2">
      <c r="A12568" t="str">
        <f>"PPARGC1B"</f>
        <v>PPARGC1B</v>
      </c>
      <c r="B12568" t="s">
        <v>3</v>
      </c>
    </row>
    <row r="12569" spans="1:2" x14ac:dyDescent="0.2">
      <c r="A12569" t="str">
        <f>"PPAT"</f>
        <v>PPAT</v>
      </c>
      <c r="B12569" t="s">
        <v>7</v>
      </c>
    </row>
    <row r="12570" spans="1:2" x14ac:dyDescent="0.2">
      <c r="A12570" t="str">
        <f>"PPBP"</f>
        <v>PPBP</v>
      </c>
      <c r="B12570" t="s">
        <v>7</v>
      </c>
    </row>
    <row r="12571" spans="1:2" x14ac:dyDescent="0.2">
      <c r="A12571" t="str">
        <f>"PPCDC"</f>
        <v>PPCDC</v>
      </c>
      <c r="B12571" t="s">
        <v>7</v>
      </c>
    </row>
    <row r="12572" spans="1:2" x14ac:dyDescent="0.2">
      <c r="A12572" t="str">
        <f>"PPCS"</f>
        <v>PPCS</v>
      </c>
      <c r="B12572" t="s">
        <v>3</v>
      </c>
    </row>
    <row r="12573" spans="1:2" x14ac:dyDescent="0.2">
      <c r="A12573" t="str">
        <f>"PPDPF"</f>
        <v>PPDPF</v>
      </c>
      <c r="B12573" t="s">
        <v>4</v>
      </c>
    </row>
    <row r="12574" spans="1:2" x14ac:dyDescent="0.2">
      <c r="A12574" t="str">
        <f>"PPEF1"</f>
        <v>PPEF1</v>
      </c>
      <c r="B12574" t="s">
        <v>7</v>
      </c>
    </row>
    <row r="12575" spans="1:2" x14ac:dyDescent="0.2">
      <c r="A12575" t="str">
        <f>"PPEF2"</f>
        <v>PPEF2</v>
      </c>
      <c r="B12575" t="s">
        <v>7</v>
      </c>
    </row>
    <row r="12576" spans="1:2" x14ac:dyDescent="0.2">
      <c r="A12576" t="str">
        <f>"PPFIA1"</f>
        <v>PPFIA1</v>
      </c>
      <c r="B12576" t="s">
        <v>7</v>
      </c>
    </row>
    <row r="12577" spans="1:2" x14ac:dyDescent="0.2">
      <c r="A12577" t="str">
        <f>"PPFIA2"</f>
        <v>PPFIA2</v>
      </c>
      <c r="B12577" t="s">
        <v>7</v>
      </c>
    </row>
    <row r="12578" spans="1:2" x14ac:dyDescent="0.2">
      <c r="A12578" t="str">
        <f>"PPFIA3"</f>
        <v>PPFIA3</v>
      </c>
      <c r="B12578" t="s">
        <v>7</v>
      </c>
    </row>
    <row r="12579" spans="1:2" x14ac:dyDescent="0.2">
      <c r="A12579" t="str">
        <f>"PPFIA4"</f>
        <v>PPFIA4</v>
      </c>
      <c r="B12579" t="s">
        <v>7</v>
      </c>
    </row>
    <row r="12580" spans="1:2" x14ac:dyDescent="0.2">
      <c r="A12580" t="str">
        <f>"PPFIBP1"</f>
        <v>PPFIBP1</v>
      </c>
      <c r="B12580" t="s">
        <v>8</v>
      </c>
    </row>
    <row r="12581" spans="1:2" x14ac:dyDescent="0.2">
      <c r="A12581" t="str">
        <f>"PPFIBP2"</f>
        <v>PPFIBP2</v>
      </c>
      <c r="B12581" t="s">
        <v>8</v>
      </c>
    </row>
    <row r="12582" spans="1:2" x14ac:dyDescent="0.2">
      <c r="A12582" t="str">
        <f>"PPHLN1"</f>
        <v>PPHLN1</v>
      </c>
      <c r="B12582" t="s">
        <v>4</v>
      </c>
    </row>
    <row r="12583" spans="1:2" x14ac:dyDescent="0.2">
      <c r="A12583" t="str">
        <f>"PPIA"</f>
        <v>PPIA</v>
      </c>
      <c r="B12583" t="s">
        <v>7</v>
      </c>
    </row>
    <row r="12584" spans="1:2" x14ac:dyDescent="0.2">
      <c r="A12584" t="str">
        <f>"PPIB"</f>
        <v>PPIB</v>
      </c>
      <c r="B12584" t="s">
        <v>7</v>
      </c>
    </row>
    <row r="12585" spans="1:2" x14ac:dyDescent="0.2">
      <c r="A12585" t="str">
        <f>"PPIC"</f>
        <v>PPIC</v>
      </c>
      <c r="B12585" t="s">
        <v>7</v>
      </c>
    </row>
    <row r="12586" spans="1:2" x14ac:dyDescent="0.2">
      <c r="A12586" t="str">
        <f>"PPID"</f>
        <v>PPID</v>
      </c>
      <c r="B12586" t="s">
        <v>2</v>
      </c>
    </row>
    <row r="12587" spans="1:2" x14ac:dyDescent="0.2">
      <c r="A12587" t="str">
        <f>"PPIE"</f>
        <v>PPIE</v>
      </c>
      <c r="B12587" t="s">
        <v>2</v>
      </c>
    </row>
    <row r="12588" spans="1:2" x14ac:dyDescent="0.2">
      <c r="A12588" t="str">
        <f>"PPIF"</f>
        <v>PPIF</v>
      </c>
      <c r="B12588" t="s">
        <v>7</v>
      </c>
    </row>
    <row r="12589" spans="1:2" x14ac:dyDescent="0.2">
      <c r="A12589" t="str">
        <f>"PPIG"</f>
        <v>PPIG</v>
      </c>
      <c r="B12589" t="s">
        <v>7</v>
      </c>
    </row>
    <row r="12590" spans="1:2" x14ac:dyDescent="0.2">
      <c r="A12590" t="str">
        <f>"PPIH"</f>
        <v>PPIH</v>
      </c>
      <c r="B12590" t="s">
        <v>7</v>
      </c>
    </row>
    <row r="12591" spans="1:2" x14ac:dyDescent="0.2">
      <c r="A12591" t="str">
        <f>"PPIL1"</f>
        <v>PPIL1</v>
      </c>
      <c r="B12591" t="s">
        <v>2</v>
      </c>
    </row>
    <row r="12592" spans="1:2" x14ac:dyDescent="0.2">
      <c r="A12592" t="str">
        <f>"PPIL2"</f>
        <v>PPIL2</v>
      </c>
      <c r="B12592" t="s">
        <v>2</v>
      </c>
    </row>
    <row r="12593" spans="1:2" x14ac:dyDescent="0.2">
      <c r="A12593" t="str">
        <f>"PPIL3"</f>
        <v>PPIL3</v>
      </c>
      <c r="B12593" t="s">
        <v>2</v>
      </c>
    </row>
    <row r="12594" spans="1:2" x14ac:dyDescent="0.2">
      <c r="A12594" t="str">
        <f>"PPIL4"</f>
        <v>PPIL4</v>
      </c>
      <c r="B12594" t="s">
        <v>2</v>
      </c>
    </row>
    <row r="12595" spans="1:2" x14ac:dyDescent="0.2">
      <c r="A12595" t="str">
        <f>"PPIL6"</f>
        <v>PPIL6</v>
      </c>
      <c r="B12595" t="s">
        <v>2</v>
      </c>
    </row>
    <row r="12596" spans="1:2" x14ac:dyDescent="0.2">
      <c r="A12596" t="str">
        <f>"PPIP5K1"</f>
        <v>PPIP5K1</v>
      </c>
      <c r="B12596" t="s">
        <v>4</v>
      </c>
    </row>
    <row r="12597" spans="1:2" x14ac:dyDescent="0.2">
      <c r="A12597" t="str">
        <f>"PPIP5K2"</f>
        <v>PPIP5K2</v>
      </c>
      <c r="B12597" t="s">
        <v>4</v>
      </c>
    </row>
    <row r="12598" spans="1:2" x14ac:dyDescent="0.2">
      <c r="A12598" t="str">
        <f>"PPL"</f>
        <v>PPL</v>
      </c>
      <c r="B12598" t="s">
        <v>6</v>
      </c>
    </row>
    <row r="12599" spans="1:2" x14ac:dyDescent="0.2">
      <c r="A12599" t="str">
        <f>"PPM1A"</f>
        <v>PPM1A</v>
      </c>
      <c r="B12599" t="s">
        <v>7</v>
      </c>
    </row>
    <row r="12600" spans="1:2" x14ac:dyDescent="0.2">
      <c r="A12600" t="str">
        <f>"PPM1B"</f>
        <v>PPM1B</v>
      </c>
      <c r="B12600" t="s">
        <v>7</v>
      </c>
    </row>
    <row r="12601" spans="1:2" x14ac:dyDescent="0.2">
      <c r="A12601" t="str">
        <f>"PPM1D"</f>
        <v>PPM1D</v>
      </c>
      <c r="B12601" t="s">
        <v>7</v>
      </c>
    </row>
    <row r="12602" spans="1:2" x14ac:dyDescent="0.2">
      <c r="A12602" t="str">
        <f>"PPM1E"</f>
        <v>PPM1E</v>
      </c>
      <c r="B12602" t="s">
        <v>7</v>
      </c>
    </row>
    <row r="12603" spans="1:2" x14ac:dyDescent="0.2">
      <c r="A12603" t="str">
        <f>"PPM1F"</f>
        <v>PPM1F</v>
      </c>
      <c r="B12603" t="s">
        <v>7</v>
      </c>
    </row>
    <row r="12604" spans="1:2" x14ac:dyDescent="0.2">
      <c r="A12604" t="str">
        <f>"PPM1G"</f>
        <v>PPM1G</v>
      </c>
      <c r="B12604" t="s">
        <v>7</v>
      </c>
    </row>
    <row r="12605" spans="1:2" x14ac:dyDescent="0.2">
      <c r="A12605" t="str">
        <f>"PPM1H"</f>
        <v>PPM1H</v>
      </c>
      <c r="B12605" t="s">
        <v>3</v>
      </c>
    </row>
    <row r="12606" spans="1:2" x14ac:dyDescent="0.2">
      <c r="A12606" t="str">
        <f>"PPM1J"</f>
        <v>PPM1J</v>
      </c>
      <c r="B12606" t="s">
        <v>3</v>
      </c>
    </row>
    <row r="12607" spans="1:2" x14ac:dyDescent="0.2">
      <c r="A12607" t="str">
        <f>"PPM1K"</f>
        <v>PPM1K</v>
      </c>
      <c r="B12607" t="s">
        <v>6</v>
      </c>
    </row>
    <row r="12608" spans="1:2" x14ac:dyDescent="0.2">
      <c r="A12608" t="str">
        <f>"PPM1L"</f>
        <v>PPM1L</v>
      </c>
      <c r="B12608" t="s">
        <v>7</v>
      </c>
    </row>
    <row r="12609" spans="1:2" x14ac:dyDescent="0.2">
      <c r="A12609" t="str">
        <f>"PPM1M"</f>
        <v>PPM1M</v>
      </c>
      <c r="B12609" t="s">
        <v>7</v>
      </c>
    </row>
    <row r="12610" spans="1:2" x14ac:dyDescent="0.2">
      <c r="A12610" t="str">
        <f>"PPM1N"</f>
        <v>PPM1N</v>
      </c>
      <c r="B12610" t="s">
        <v>4</v>
      </c>
    </row>
    <row r="12611" spans="1:2" x14ac:dyDescent="0.2">
      <c r="A12611" t="str">
        <f>"PPME1"</f>
        <v>PPME1</v>
      </c>
      <c r="B12611" t="s">
        <v>7</v>
      </c>
    </row>
    <row r="12612" spans="1:2" x14ac:dyDescent="0.2">
      <c r="A12612" t="str">
        <f>"PPOX"</f>
        <v>PPOX</v>
      </c>
      <c r="B12612" t="s">
        <v>6</v>
      </c>
    </row>
    <row r="12613" spans="1:2" x14ac:dyDescent="0.2">
      <c r="A12613" t="str">
        <f>"PPP1CA"</f>
        <v>PPP1CA</v>
      </c>
      <c r="B12613" t="s">
        <v>7</v>
      </c>
    </row>
    <row r="12614" spans="1:2" x14ac:dyDescent="0.2">
      <c r="A12614" t="str">
        <f>"PPP1CB"</f>
        <v>PPP1CB</v>
      </c>
      <c r="B12614" t="s">
        <v>7</v>
      </c>
    </row>
    <row r="12615" spans="1:2" x14ac:dyDescent="0.2">
      <c r="A12615" t="str">
        <f>"PPP1CC"</f>
        <v>PPP1CC</v>
      </c>
      <c r="B12615" t="s">
        <v>7</v>
      </c>
    </row>
    <row r="12616" spans="1:2" x14ac:dyDescent="0.2">
      <c r="A12616" t="str">
        <f>"PPP1R10"</f>
        <v>PPP1R10</v>
      </c>
      <c r="B12616" t="s">
        <v>7</v>
      </c>
    </row>
    <row r="12617" spans="1:2" x14ac:dyDescent="0.2">
      <c r="A12617" t="str">
        <f>"PPP1R11"</f>
        <v>PPP1R11</v>
      </c>
      <c r="B12617" t="s">
        <v>7</v>
      </c>
    </row>
    <row r="12618" spans="1:2" x14ac:dyDescent="0.2">
      <c r="A12618" t="str">
        <f>"PPP1R12A"</f>
        <v>PPP1R12A</v>
      </c>
      <c r="B12618" t="s">
        <v>7</v>
      </c>
    </row>
    <row r="12619" spans="1:2" x14ac:dyDescent="0.2">
      <c r="A12619" t="str">
        <f>"PPP1R12B"</f>
        <v>PPP1R12B</v>
      </c>
      <c r="B12619" t="s">
        <v>7</v>
      </c>
    </row>
    <row r="12620" spans="1:2" x14ac:dyDescent="0.2">
      <c r="A12620" t="str">
        <f>"PPP1R12C"</f>
        <v>PPP1R12C</v>
      </c>
      <c r="B12620" t="s">
        <v>7</v>
      </c>
    </row>
    <row r="12621" spans="1:2" x14ac:dyDescent="0.2">
      <c r="A12621" t="str">
        <f>"PPP1R13B"</f>
        <v>PPP1R13B</v>
      </c>
      <c r="B12621" t="s">
        <v>7</v>
      </c>
    </row>
    <row r="12622" spans="1:2" x14ac:dyDescent="0.2">
      <c r="A12622" t="str">
        <f>"PPP1R13L"</f>
        <v>PPP1R13L</v>
      </c>
      <c r="B12622" t="s">
        <v>3</v>
      </c>
    </row>
    <row r="12623" spans="1:2" x14ac:dyDescent="0.2">
      <c r="A12623" t="str">
        <f>"PPP1R14A"</f>
        <v>PPP1R14A</v>
      </c>
      <c r="B12623" t="s">
        <v>7</v>
      </c>
    </row>
    <row r="12624" spans="1:2" x14ac:dyDescent="0.2">
      <c r="A12624" t="str">
        <f>"PPP1R14B"</f>
        <v>PPP1R14B</v>
      </c>
      <c r="B12624" t="s">
        <v>3</v>
      </c>
    </row>
    <row r="12625" spans="1:2" x14ac:dyDescent="0.2">
      <c r="A12625" t="str">
        <f>"PPP1R14C"</f>
        <v>PPP1R14C</v>
      </c>
      <c r="B12625" t="s">
        <v>7</v>
      </c>
    </row>
    <row r="12626" spans="1:2" x14ac:dyDescent="0.2">
      <c r="A12626" t="str">
        <f>"PPP1R14D"</f>
        <v>PPP1R14D</v>
      </c>
      <c r="B12626" t="s">
        <v>7</v>
      </c>
    </row>
    <row r="12627" spans="1:2" x14ac:dyDescent="0.2">
      <c r="A12627" t="str">
        <f>"PPP1R15A"</f>
        <v>PPP1R15A</v>
      </c>
      <c r="B12627" t="s">
        <v>2</v>
      </c>
    </row>
    <row r="12628" spans="1:2" x14ac:dyDescent="0.2">
      <c r="A12628" t="str">
        <f>"PPP1R15B"</f>
        <v>PPP1R15B</v>
      </c>
      <c r="B12628" t="s">
        <v>7</v>
      </c>
    </row>
    <row r="12629" spans="1:2" x14ac:dyDescent="0.2">
      <c r="A12629" t="str">
        <f>"PPP1R16A"</f>
        <v>PPP1R16A</v>
      </c>
      <c r="B12629" t="s">
        <v>3</v>
      </c>
    </row>
    <row r="12630" spans="1:2" x14ac:dyDescent="0.2">
      <c r="A12630" t="str">
        <f>"PPP1R16B"</f>
        <v>PPP1R16B</v>
      </c>
      <c r="B12630" t="s">
        <v>7</v>
      </c>
    </row>
    <row r="12631" spans="1:2" x14ac:dyDescent="0.2">
      <c r="A12631" t="str">
        <f>"PPP1R17"</f>
        <v>PPP1R17</v>
      </c>
      <c r="B12631" t="s">
        <v>6</v>
      </c>
    </row>
    <row r="12632" spans="1:2" x14ac:dyDescent="0.2">
      <c r="A12632" t="str">
        <f>"PPP1R18"</f>
        <v>PPP1R18</v>
      </c>
      <c r="B12632" t="s">
        <v>6</v>
      </c>
    </row>
    <row r="12633" spans="1:2" x14ac:dyDescent="0.2">
      <c r="A12633" t="str">
        <f>"PPP1R1A"</f>
        <v>PPP1R1A</v>
      </c>
      <c r="B12633" t="s">
        <v>7</v>
      </c>
    </row>
    <row r="12634" spans="1:2" x14ac:dyDescent="0.2">
      <c r="A12634" t="str">
        <f>"PPP1R1B"</f>
        <v>PPP1R1B</v>
      </c>
      <c r="B12634" t="s">
        <v>7</v>
      </c>
    </row>
    <row r="12635" spans="1:2" x14ac:dyDescent="0.2">
      <c r="A12635" t="str">
        <f>"PPP1R1C"</f>
        <v>PPP1R1C</v>
      </c>
      <c r="B12635" t="s">
        <v>7</v>
      </c>
    </row>
    <row r="12636" spans="1:2" x14ac:dyDescent="0.2">
      <c r="A12636" t="str">
        <f>"PPP1R2"</f>
        <v>PPP1R2</v>
      </c>
      <c r="B12636" t="s">
        <v>7</v>
      </c>
    </row>
    <row r="12637" spans="1:2" x14ac:dyDescent="0.2">
      <c r="A12637" t="str">
        <f>"PPP1R21"</f>
        <v>PPP1R21</v>
      </c>
      <c r="B12637" t="s">
        <v>7</v>
      </c>
    </row>
    <row r="12638" spans="1:2" x14ac:dyDescent="0.2">
      <c r="A12638" t="str">
        <f>"PPP1R26"</f>
        <v>PPP1R26</v>
      </c>
      <c r="B12638" t="s">
        <v>7</v>
      </c>
    </row>
    <row r="12639" spans="1:2" x14ac:dyDescent="0.2">
      <c r="A12639" t="str">
        <f>"PPP1R27"</f>
        <v>PPP1R27</v>
      </c>
      <c r="B12639" t="s">
        <v>6</v>
      </c>
    </row>
    <row r="12640" spans="1:2" x14ac:dyDescent="0.2">
      <c r="A12640" t="str">
        <f>"PPP1R32"</f>
        <v>PPP1R32</v>
      </c>
      <c r="B12640" t="s">
        <v>7</v>
      </c>
    </row>
    <row r="12641" spans="1:2" x14ac:dyDescent="0.2">
      <c r="A12641" t="str">
        <f>"PPP1R35"</f>
        <v>PPP1R35</v>
      </c>
      <c r="B12641" t="s">
        <v>3</v>
      </c>
    </row>
    <row r="12642" spans="1:2" x14ac:dyDescent="0.2">
      <c r="A12642" t="str">
        <f>"PPP1R36"</f>
        <v>PPP1R36</v>
      </c>
      <c r="B12642" t="s">
        <v>3</v>
      </c>
    </row>
    <row r="12643" spans="1:2" x14ac:dyDescent="0.2">
      <c r="A12643" t="str">
        <f>"PPP1R37"</f>
        <v>PPP1R37</v>
      </c>
      <c r="B12643" t="s">
        <v>7</v>
      </c>
    </row>
    <row r="12644" spans="1:2" x14ac:dyDescent="0.2">
      <c r="A12644" t="str">
        <f>"PPP1R3A"</f>
        <v>PPP1R3A</v>
      </c>
      <c r="B12644" t="s">
        <v>7</v>
      </c>
    </row>
    <row r="12645" spans="1:2" x14ac:dyDescent="0.2">
      <c r="A12645" t="str">
        <f>"PPP1R3B"</f>
        <v>PPP1R3B</v>
      </c>
      <c r="B12645" t="s">
        <v>7</v>
      </c>
    </row>
    <row r="12646" spans="1:2" x14ac:dyDescent="0.2">
      <c r="A12646" t="str">
        <f>"PPP1R3C"</f>
        <v>PPP1R3C</v>
      </c>
      <c r="B12646" t="s">
        <v>7</v>
      </c>
    </row>
    <row r="12647" spans="1:2" x14ac:dyDescent="0.2">
      <c r="A12647" t="str">
        <f>"PPP1R3D"</f>
        <v>PPP1R3D</v>
      </c>
      <c r="B12647" t="s">
        <v>7</v>
      </c>
    </row>
    <row r="12648" spans="1:2" x14ac:dyDescent="0.2">
      <c r="A12648" t="str">
        <f>"PPP1R3E"</f>
        <v>PPP1R3E</v>
      </c>
      <c r="B12648" t="s">
        <v>7</v>
      </c>
    </row>
    <row r="12649" spans="1:2" x14ac:dyDescent="0.2">
      <c r="A12649" t="str">
        <f>"PPP1R3F"</f>
        <v>PPP1R3F</v>
      </c>
      <c r="B12649" t="s">
        <v>7</v>
      </c>
    </row>
    <row r="12650" spans="1:2" x14ac:dyDescent="0.2">
      <c r="A12650" t="str">
        <f>"PPP1R3G"</f>
        <v>PPP1R3G</v>
      </c>
      <c r="B12650" t="s">
        <v>7</v>
      </c>
    </row>
    <row r="12651" spans="1:2" x14ac:dyDescent="0.2">
      <c r="A12651" t="str">
        <f>"PPP1R42"</f>
        <v>PPP1R42</v>
      </c>
      <c r="B12651" t="s">
        <v>7</v>
      </c>
    </row>
    <row r="12652" spans="1:2" x14ac:dyDescent="0.2">
      <c r="A12652" t="str">
        <f>"PPP1R7"</f>
        <v>PPP1R7</v>
      </c>
      <c r="B12652" t="s">
        <v>7</v>
      </c>
    </row>
    <row r="12653" spans="1:2" x14ac:dyDescent="0.2">
      <c r="A12653" t="str">
        <f>"PPP1R8"</f>
        <v>PPP1R8</v>
      </c>
      <c r="B12653" t="s">
        <v>7</v>
      </c>
    </row>
    <row r="12654" spans="1:2" x14ac:dyDescent="0.2">
      <c r="A12654" t="str">
        <f>"PPP1R9A"</f>
        <v>PPP1R9A</v>
      </c>
      <c r="B12654" t="s">
        <v>7</v>
      </c>
    </row>
    <row r="12655" spans="1:2" x14ac:dyDescent="0.2">
      <c r="A12655" t="str">
        <f>"PPP1R9B"</f>
        <v>PPP1R9B</v>
      </c>
      <c r="B12655" t="s">
        <v>7</v>
      </c>
    </row>
    <row r="12656" spans="1:2" x14ac:dyDescent="0.2">
      <c r="A12656" t="str">
        <f>"PPP2CA"</f>
        <v>PPP2CA</v>
      </c>
      <c r="B12656" t="s">
        <v>7</v>
      </c>
    </row>
    <row r="12657" spans="1:2" x14ac:dyDescent="0.2">
      <c r="A12657" t="str">
        <f>"PPP2CB"</f>
        <v>PPP2CB</v>
      </c>
      <c r="B12657" t="s">
        <v>7</v>
      </c>
    </row>
    <row r="12658" spans="1:2" x14ac:dyDescent="0.2">
      <c r="A12658" t="str">
        <f>"PPP2R1A"</f>
        <v>PPP2R1A</v>
      </c>
      <c r="B12658" t="s">
        <v>7</v>
      </c>
    </row>
    <row r="12659" spans="1:2" x14ac:dyDescent="0.2">
      <c r="A12659" t="str">
        <f>"PPP2R1B"</f>
        <v>PPP2R1B</v>
      </c>
      <c r="B12659" t="s">
        <v>7</v>
      </c>
    </row>
    <row r="12660" spans="1:2" x14ac:dyDescent="0.2">
      <c r="A12660" t="str">
        <f>"PPP2R2A"</f>
        <v>PPP2R2A</v>
      </c>
      <c r="B12660" t="s">
        <v>7</v>
      </c>
    </row>
    <row r="12661" spans="1:2" x14ac:dyDescent="0.2">
      <c r="A12661" t="str">
        <f>"PPP2R2B"</f>
        <v>PPP2R2B</v>
      </c>
      <c r="B12661" t="s">
        <v>7</v>
      </c>
    </row>
    <row r="12662" spans="1:2" x14ac:dyDescent="0.2">
      <c r="A12662" t="str">
        <f>"PPP2R2C"</f>
        <v>PPP2R2C</v>
      </c>
      <c r="B12662" t="s">
        <v>7</v>
      </c>
    </row>
    <row r="12663" spans="1:2" x14ac:dyDescent="0.2">
      <c r="A12663" t="str">
        <f>"PPP2R2D"</f>
        <v>PPP2R2D</v>
      </c>
      <c r="B12663" t="s">
        <v>7</v>
      </c>
    </row>
    <row r="12664" spans="1:2" x14ac:dyDescent="0.2">
      <c r="A12664" t="str">
        <f>"PPP2R3A"</f>
        <v>PPP2R3A</v>
      </c>
      <c r="B12664" t="s">
        <v>7</v>
      </c>
    </row>
    <row r="12665" spans="1:2" x14ac:dyDescent="0.2">
      <c r="A12665" t="str">
        <f>"PPP2R3B"</f>
        <v>PPP2R3B</v>
      </c>
      <c r="B12665" t="s">
        <v>7</v>
      </c>
    </row>
    <row r="12666" spans="1:2" x14ac:dyDescent="0.2">
      <c r="A12666" t="str">
        <f>"PPP2R3C"</f>
        <v>PPP2R3C</v>
      </c>
      <c r="B12666" t="s">
        <v>3</v>
      </c>
    </row>
    <row r="12667" spans="1:2" x14ac:dyDescent="0.2">
      <c r="A12667" t="str">
        <f>"PPP2R4"</f>
        <v>PPP2R4</v>
      </c>
      <c r="B12667" t="s">
        <v>7</v>
      </c>
    </row>
    <row r="12668" spans="1:2" x14ac:dyDescent="0.2">
      <c r="A12668" t="str">
        <f>"PPP2R5A"</f>
        <v>PPP2R5A</v>
      </c>
      <c r="B12668" t="s">
        <v>7</v>
      </c>
    </row>
    <row r="12669" spans="1:2" x14ac:dyDescent="0.2">
      <c r="A12669" t="str">
        <f>"PPP2R5B"</f>
        <v>PPP2R5B</v>
      </c>
      <c r="B12669" t="s">
        <v>7</v>
      </c>
    </row>
    <row r="12670" spans="1:2" x14ac:dyDescent="0.2">
      <c r="A12670" t="str">
        <f>"PPP2R5C"</f>
        <v>PPP2R5C</v>
      </c>
      <c r="B12670" t="s">
        <v>7</v>
      </c>
    </row>
    <row r="12671" spans="1:2" x14ac:dyDescent="0.2">
      <c r="A12671" t="str">
        <f>"PPP2R5D"</f>
        <v>PPP2R5D</v>
      </c>
      <c r="B12671" t="s">
        <v>3</v>
      </c>
    </row>
    <row r="12672" spans="1:2" x14ac:dyDescent="0.2">
      <c r="A12672" t="str">
        <f>"PPP2R5E"</f>
        <v>PPP2R5E</v>
      </c>
      <c r="B12672" t="s">
        <v>7</v>
      </c>
    </row>
    <row r="12673" spans="1:2" x14ac:dyDescent="0.2">
      <c r="A12673" t="str">
        <f>"PPP3CA"</f>
        <v>PPP3CA</v>
      </c>
      <c r="B12673" t="s">
        <v>7</v>
      </c>
    </row>
    <row r="12674" spans="1:2" x14ac:dyDescent="0.2">
      <c r="A12674" t="str">
        <f>"PPP3CB"</f>
        <v>PPP3CB</v>
      </c>
      <c r="B12674" t="s">
        <v>7</v>
      </c>
    </row>
    <row r="12675" spans="1:2" x14ac:dyDescent="0.2">
      <c r="A12675" t="str">
        <f>"PPP3CC"</f>
        <v>PPP3CC</v>
      </c>
      <c r="B12675" t="s">
        <v>7</v>
      </c>
    </row>
    <row r="12676" spans="1:2" x14ac:dyDescent="0.2">
      <c r="A12676" t="str">
        <f>"PPP3R1"</f>
        <v>PPP3R1</v>
      </c>
      <c r="B12676" t="s">
        <v>7</v>
      </c>
    </row>
    <row r="12677" spans="1:2" x14ac:dyDescent="0.2">
      <c r="A12677" t="str">
        <f>"PPP3R2"</f>
        <v>PPP3R2</v>
      </c>
      <c r="B12677" t="s">
        <v>3</v>
      </c>
    </row>
    <row r="12678" spans="1:2" x14ac:dyDescent="0.2">
      <c r="A12678" t="str">
        <f>"PPP4C"</f>
        <v>PPP4C</v>
      </c>
      <c r="B12678" t="s">
        <v>7</v>
      </c>
    </row>
    <row r="12679" spans="1:2" x14ac:dyDescent="0.2">
      <c r="A12679" t="str">
        <f>"PPP4R1"</f>
        <v>PPP4R1</v>
      </c>
      <c r="B12679" t="s">
        <v>7</v>
      </c>
    </row>
    <row r="12680" spans="1:2" x14ac:dyDescent="0.2">
      <c r="A12680" t="str">
        <f>"PPP4R2"</f>
        <v>PPP4R2</v>
      </c>
      <c r="B12680" t="s">
        <v>3</v>
      </c>
    </row>
    <row r="12681" spans="1:2" x14ac:dyDescent="0.2">
      <c r="A12681" t="str">
        <f>"PPP4R4"</f>
        <v>PPP4R4</v>
      </c>
      <c r="B12681" t="s">
        <v>3</v>
      </c>
    </row>
    <row r="12682" spans="1:2" x14ac:dyDescent="0.2">
      <c r="A12682" t="str">
        <f>"PPP5C"</f>
        <v>PPP5C</v>
      </c>
      <c r="B12682" t="s">
        <v>7</v>
      </c>
    </row>
    <row r="12683" spans="1:2" x14ac:dyDescent="0.2">
      <c r="A12683" t="str">
        <f>"PPP5D1"</f>
        <v>PPP5D1</v>
      </c>
      <c r="B12683" t="s">
        <v>4</v>
      </c>
    </row>
    <row r="12684" spans="1:2" x14ac:dyDescent="0.2">
      <c r="A12684" t="str">
        <f>"PPP6C"</f>
        <v>PPP6C</v>
      </c>
      <c r="B12684" t="s">
        <v>7</v>
      </c>
    </row>
    <row r="12685" spans="1:2" x14ac:dyDescent="0.2">
      <c r="A12685" t="str">
        <f>"PPP6R1"</f>
        <v>PPP6R1</v>
      </c>
      <c r="B12685" t="s">
        <v>2</v>
      </c>
    </row>
    <row r="12686" spans="1:2" x14ac:dyDescent="0.2">
      <c r="A12686" t="str">
        <f>"PPP6R2"</f>
        <v>PPP6R2</v>
      </c>
      <c r="B12686" t="s">
        <v>3</v>
      </c>
    </row>
    <row r="12687" spans="1:2" x14ac:dyDescent="0.2">
      <c r="A12687" t="str">
        <f>"PPP6R3"</f>
        <v>PPP6R3</v>
      </c>
      <c r="B12687" t="s">
        <v>3</v>
      </c>
    </row>
    <row r="12688" spans="1:2" x14ac:dyDescent="0.2">
      <c r="A12688" t="str">
        <f>"PPRC1"</f>
        <v>PPRC1</v>
      </c>
      <c r="B12688" t="s">
        <v>3</v>
      </c>
    </row>
    <row r="12689" spans="1:2" x14ac:dyDescent="0.2">
      <c r="A12689" t="str">
        <f>"PPT1"</f>
        <v>PPT1</v>
      </c>
      <c r="B12689" t="s">
        <v>7</v>
      </c>
    </row>
    <row r="12690" spans="1:2" x14ac:dyDescent="0.2">
      <c r="A12690" t="str">
        <f>"PPT2"</f>
        <v>PPT2</v>
      </c>
      <c r="B12690" t="s">
        <v>2</v>
      </c>
    </row>
    <row r="12691" spans="1:2" x14ac:dyDescent="0.2">
      <c r="A12691" t="str">
        <f>"PPTC7"</f>
        <v>PPTC7</v>
      </c>
      <c r="B12691" t="s">
        <v>7</v>
      </c>
    </row>
    <row r="12692" spans="1:2" x14ac:dyDescent="0.2">
      <c r="A12692" t="str">
        <f>"PPWD1"</f>
        <v>PPWD1</v>
      </c>
      <c r="B12692" t="s">
        <v>2</v>
      </c>
    </row>
    <row r="12693" spans="1:2" x14ac:dyDescent="0.2">
      <c r="A12693" t="str">
        <f>"PPY"</f>
        <v>PPY</v>
      </c>
      <c r="B12693" t="s">
        <v>4</v>
      </c>
    </row>
    <row r="12694" spans="1:2" x14ac:dyDescent="0.2">
      <c r="A12694" t="str">
        <f>"PQBP1"</f>
        <v>PQBP1</v>
      </c>
      <c r="B12694" t="s">
        <v>8</v>
      </c>
    </row>
    <row r="12695" spans="1:2" x14ac:dyDescent="0.2">
      <c r="A12695" t="str">
        <f>"PQLC1"</f>
        <v>PQLC1</v>
      </c>
      <c r="B12695" t="s">
        <v>6</v>
      </c>
    </row>
    <row r="12696" spans="1:2" x14ac:dyDescent="0.2">
      <c r="A12696" t="str">
        <f>"PQLC2"</f>
        <v>PQLC2</v>
      </c>
      <c r="B12696" t="s">
        <v>2</v>
      </c>
    </row>
    <row r="12697" spans="1:2" x14ac:dyDescent="0.2">
      <c r="A12697" t="str">
        <f>"PQLC3"</f>
        <v>PQLC3</v>
      </c>
      <c r="B12697" t="s">
        <v>5</v>
      </c>
    </row>
    <row r="12698" spans="1:2" x14ac:dyDescent="0.2">
      <c r="A12698" t="str">
        <f>"PRAC1"</f>
        <v>PRAC1</v>
      </c>
      <c r="B12698" t="s">
        <v>4</v>
      </c>
    </row>
    <row r="12699" spans="1:2" x14ac:dyDescent="0.2">
      <c r="A12699" t="str">
        <f>"PRADC1"</f>
        <v>PRADC1</v>
      </c>
      <c r="B12699" t="s">
        <v>4</v>
      </c>
    </row>
    <row r="12700" spans="1:2" x14ac:dyDescent="0.2">
      <c r="A12700" t="str">
        <f>"PRAF2"</f>
        <v>PRAF2</v>
      </c>
      <c r="B12700" t="s">
        <v>2</v>
      </c>
    </row>
    <row r="12701" spans="1:2" x14ac:dyDescent="0.2">
      <c r="A12701" t="str">
        <f>"PRAM1"</f>
        <v>PRAM1</v>
      </c>
      <c r="B12701" t="s">
        <v>6</v>
      </c>
    </row>
    <row r="12702" spans="1:2" x14ac:dyDescent="0.2">
      <c r="A12702" t="str">
        <f>"PRAME"</f>
        <v>PRAME</v>
      </c>
      <c r="B12702" t="s">
        <v>3</v>
      </c>
    </row>
    <row r="12703" spans="1:2" x14ac:dyDescent="0.2">
      <c r="A12703" t="str">
        <f>"PRAMEF10"</f>
        <v>PRAMEF10</v>
      </c>
      <c r="B12703" t="s">
        <v>4</v>
      </c>
    </row>
    <row r="12704" spans="1:2" x14ac:dyDescent="0.2">
      <c r="A12704" t="str">
        <f>"PRAMEF12"</f>
        <v>PRAMEF12</v>
      </c>
      <c r="B12704" t="s">
        <v>4</v>
      </c>
    </row>
    <row r="12705" spans="1:2" x14ac:dyDescent="0.2">
      <c r="A12705" t="str">
        <f>"PRAMEF20"</f>
        <v>PRAMEF20</v>
      </c>
      <c r="B12705" t="s">
        <v>4</v>
      </c>
    </row>
    <row r="12706" spans="1:2" x14ac:dyDescent="0.2">
      <c r="A12706" t="str">
        <f>"PRAMEF22"</f>
        <v>PRAMEF22</v>
      </c>
      <c r="B12706" t="s">
        <v>4</v>
      </c>
    </row>
    <row r="12707" spans="1:2" x14ac:dyDescent="0.2">
      <c r="A12707" t="str">
        <f>"PRAMEF6"</f>
        <v>PRAMEF6</v>
      </c>
      <c r="B12707" t="s">
        <v>4</v>
      </c>
    </row>
    <row r="12708" spans="1:2" x14ac:dyDescent="0.2">
      <c r="A12708" t="str">
        <f>"PRAMEF7"</f>
        <v>PRAMEF7</v>
      </c>
      <c r="B12708" t="s">
        <v>4</v>
      </c>
    </row>
    <row r="12709" spans="1:2" x14ac:dyDescent="0.2">
      <c r="A12709" t="str">
        <f>"PRAMEF8"</f>
        <v>PRAMEF8</v>
      </c>
      <c r="B12709" t="s">
        <v>4</v>
      </c>
    </row>
    <row r="12710" spans="1:2" x14ac:dyDescent="0.2">
      <c r="A12710" t="str">
        <f>"PRAP1"</f>
        <v>PRAP1</v>
      </c>
      <c r="B12710" t="s">
        <v>4</v>
      </c>
    </row>
    <row r="12711" spans="1:2" x14ac:dyDescent="0.2">
      <c r="A12711" t="str">
        <f>"PRB1"</f>
        <v>PRB1</v>
      </c>
      <c r="B12711" t="s">
        <v>4</v>
      </c>
    </row>
    <row r="12712" spans="1:2" x14ac:dyDescent="0.2">
      <c r="A12712" t="str">
        <f>"PRB2"</f>
        <v>PRB2</v>
      </c>
      <c r="B12712" t="s">
        <v>4</v>
      </c>
    </row>
    <row r="12713" spans="1:2" x14ac:dyDescent="0.2">
      <c r="A12713" t="str">
        <f>"PRB3"</f>
        <v>PRB3</v>
      </c>
      <c r="B12713" t="s">
        <v>8</v>
      </c>
    </row>
    <row r="12714" spans="1:2" x14ac:dyDescent="0.2">
      <c r="A12714" t="str">
        <f>"PRB4"</f>
        <v>PRB4</v>
      </c>
      <c r="B12714" t="s">
        <v>8</v>
      </c>
    </row>
    <row r="12715" spans="1:2" x14ac:dyDescent="0.2">
      <c r="A12715" t="str">
        <f>"PRC1"</f>
        <v>PRC1</v>
      </c>
      <c r="B12715" t="s">
        <v>3</v>
      </c>
    </row>
    <row r="12716" spans="1:2" x14ac:dyDescent="0.2">
      <c r="A12716" t="str">
        <f>"PRCC"</f>
        <v>PRCC</v>
      </c>
      <c r="B12716" t="s">
        <v>3</v>
      </c>
    </row>
    <row r="12717" spans="1:2" x14ac:dyDescent="0.2">
      <c r="A12717" t="str">
        <f>"PRCD"</f>
        <v>PRCD</v>
      </c>
      <c r="B12717" t="s">
        <v>4</v>
      </c>
    </row>
    <row r="12718" spans="1:2" x14ac:dyDescent="0.2">
      <c r="A12718" t="str">
        <f>"PRCP"</f>
        <v>PRCP</v>
      </c>
      <c r="B12718" t="s">
        <v>2</v>
      </c>
    </row>
    <row r="12719" spans="1:2" x14ac:dyDescent="0.2">
      <c r="A12719" t="str">
        <f>"PRDM1"</f>
        <v>PRDM1</v>
      </c>
      <c r="B12719" t="s">
        <v>8</v>
      </c>
    </row>
    <row r="12720" spans="1:2" x14ac:dyDescent="0.2">
      <c r="A12720" t="str">
        <f>"PRDM10"</f>
        <v>PRDM10</v>
      </c>
      <c r="B12720" t="s">
        <v>6</v>
      </c>
    </row>
    <row r="12721" spans="1:2" x14ac:dyDescent="0.2">
      <c r="A12721" t="str">
        <f>"PRDM11"</f>
        <v>PRDM11</v>
      </c>
      <c r="B12721" t="s">
        <v>4</v>
      </c>
    </row>
    <row r="12722" spans="1:2" x14ac:dyDescent="0.2">
      <c r="A12722" t="str">
        <f>"PRDM12"</f>
        <v>PRDM12</v>
      </c>
      <c r="B12722" t="s">
        <v>8</v>
      </c>
    </row>
    <row r="12723" spans="1:2" x14ac:dyDescent="0.2">
      <c r="A12723" t="str">
        <f>"PRDM13"</f>
        <v>PRDM13</v>
      </c>
      <c r="B12723" t="s">
        <v>8</v>
      </c>
    </row>
    <row r="12724" spans="1:2" x14ac:dyDescent="0.2">
      <c r="A12724" t="str">
        <f>"PRDM14"</f>
        <v>PRDM14</v>
      </c>
      <c r="B12724" t="s">
        <v>8</v>
      </c>
    </row>
    <row r="12725" spans="1:2" x14ac:dyDescent="0.2">
      <c r="A12725" t="str">
        <f>"PRDM15"</f>
        <v>PRDM15</v>
      </c>
      <c r="B12725" t="s">
        <v>8</v>
      </c>
    </row>
    <row r="12726" spans="1:2" x14ac:dyDescent="0.2">
      <c r="A12726" t="str">
        <f>"PRDM16"</f>
        <v>PRDM16</v>
      </c>
      <c r="B12726" t="s">
        <v>3</v>
      </c>
    </row>
    <row r="12727" spans="1:2" x14ac:dyDescent="0.2">
      <c r="A12727" t="str">
        <f>"PRDM2"</f>
        <v>PRDM2</v>
      </c>
      <c r="B12727" t="s">
        <v>8</v>
      </c>
    </row>
    <row r="12728" spans="1:2" x14ac:dyDescent="0.2">
      <c r="A12728" t="str">
        <f>"PRDM4"</f>
        <v>PRDM4</v>
      </c>
      <c r="B12728" t="s">
        <v>8</v>
      </c>
    </row>
    <row r="12729" spans="1:2" x14ac:dyDescent="0.2">
      <c r="A12729" t="str">
        <f>"PRDM5"</f>
        <v>PRDM5</v>
      </c>
      <c r="B12729" t="s">
        <v>8</v>
      </c>
    </row>
    <row r="12730" spans="1:2" x14ac:dyDescent="0.2">
      <c r="A12730" t="str">
        <f>"PRDM6"</f>
        <v>PRDM6</v>
      </c>
      <c r="B12730" t="s">
        <v>8</v>
      </c>
    </row>
    <row r="12731" spans="1:2" x14ac:dyDescent="0.2">
      <c r="A12731" t="str">
        <f>"PRDM7"</f>
        <v>PRDM7</v>
      </c>
      <c r="B12731" t="s">
        <v>8</v>
      </c>
    </row>
    <row r="12732" spans="1:2" x14ac:dyDescent="0.2">
      <c r="A12732" t="str">
        <f>"PRDM8"</f>
        <v>PRDM8</v>
      </c>
      <c r="B12732" t="s">
        <v>8</v>
      </c>
    </row>
    <row r="12733" spans="1:2" x14ac:dyDescent="0.2">
      <c r="A12733" t="str">
        <f>"PRDM9"</f>
        <v>PRDM9</v>
      </c>
      <c r="B12733" t="s">
        <v>8</v>
      </c>
    </row>
    <row r="12734" spans="1:2" x14ac:dyDescent="0.2">
      <c r="A12734" t="str">
        <f>"PRDX1"</f>
        <v>PRDX1</v>
      </c>
      <c r="B12734" t="s">
        <v>2</v>
      </c>
    </row>
    <row r="12735" spans="1:2" x14ac:dyDescent="0.2">
      <c r="A12735" t="str">
        <f>"PRDX2"</f>
        <v>PRDX2</v>
      </c>
      <c r="B12735" t="s">
        <v>7</v>
      </c>
    </row>
    <row r="12736" spans="1:2" x14ac:dyDescent="0.2">
      <c r="A12736" t="str">
        <f>"PRDX3"</f>
        <v>PRDX3</v>
      </c>
      <c r="B12736" t="s">
        <v>6</v>
      </c>
    </row>
    <row r="12737" spans="1:2" x14ac:dyDescent="0.2">
      <c r="A12737" t="str">
        <f>"PRDX4"</f>
        <v>PRDX4</v>
      </c>
      <c r="B12737" t="s">
        <v>2</v>
      </c>
    </row>
    <row r="12738" spans="1:2" x14ac:dyDescent="0.2">
      <c r="A12738" t="str">
        <f>"PRDX5"</f>
        <v>PRDX5</v>
      </c>
      <c r="B12738" t="s">
        <v>7</v>
      </c>
    </row>
    <row r="12739" spans="1:2" x14ac:dyDescent="0.2">
      <c r="A12739" t="str">
        <f>"PRDX6"</f>
        <v>PRDX6</v>
      </c>
      <c r="B12739" t="s">
        <v>7</v>
      </c>
    </row>
    <row r="12740" spans="1:2" x14ac:dyDescent="0.2">
      <c r="A12740" t="str">
        <f>"PREB"</f>
        <v>PREB</v>
      </c>
      <c r="B12740" t="s">
        <v>2</v>
      </c>
    </row>
    <row r="12741" spans="1:2" x14ac:dyDescent="0.2">
      <c r="A12741" t="str">
        <f>"PRELID1"</f>
        <v>PRELID1</v>
      </c>
      <c r="B12741" t="s">
        <v>6</v>
      </c>
    </row>
    <row r="12742" spans="1:2" x14ac:dyDescent="0.2">
      <c r="A12742" t="str">
        <f>"PRELID2"</f>
        <v>PRELID2</v>
      </c>
      <c r="B12742" t="s">
        <v>6</v>
      </c>
    </row>
    <row r="12743" spans="1:2" x14ac:dyDescent="0.2">
      <c r="A12743" t="str">
        <f>"PRELP"</f>
        <v>PRELP</v>
      </c>
      <c r="B12743" t="s">
        <v>3</v>
      </c>
    </row>
    <row r="12744" spans="1:2" x14ac:dyDescent="0.2">
      <c r="A12744" t="str">
        <f>"PREP"</f>
        <v>PREP</v>
      </c>
      <c r="B12744" t="s">
        <v>7</v>
      </c>
    </row>
    <row r="12745" spans="1:2" x14ac:dyDescent="0.2">
      <c r="A12745" t="str">
        <f>"PREPL"</f>
        <v>PREPL</v>
      </c>
      <c r="B12745" t="s">
        <v>2</v>
      </c>
    </row>
    <row r="12746" spans="1:2" x14ac:dyDescent="0.2">
      <c r="A12746" t="str">
        <f>"PREX1"</f>
        <v>PREX1</v>
      </c>
      <c r="B12746" t="s">
        <v>8</v>
      </c>
    </row>
    <row r="12747" spans="1:2" x14ac:dyDescent="0.2">
      <c r="A12747" t="str">
        <f>"PREX2"</f>
        <v>PREX2</v>
      </c>
      <c r="B12747" t="s">
        <v>3</v>
      </c>
    </row>
    <row r="12748" spans="1:2" x14ac:dyDescent="0.2">
      <c r="A12748" t="str">
        <f>"PRF1"</f>
        <v>PRF1</v>
      </c>
      <c r="B12748" t="s">
        <v>6</v>
      </c>
    </row>
    <row r="12749" spans="1:2" x14ac:dyDescent="0.2">
      <c r="A12749" t="str">
        <f>"PRG2"</f>
        <v>PRG2</v>
      </c>
      <c r="B12749" t="s">
        <v>7</v>
      </c>
    </row>
    <row r="12750" spans="1:2" x14ac:dyDescent="0.2">
      <c r="A12750" t="str">
        <f>"PRG3"</f>
        <v>PRG3</v>
      </c>
      <c r="B12750" t="s">
        <v>2</v>
      </c>
    </row>
    <row r="12751" spans="1:2" x14ac:dyDescent="0.2">
      <c r="A12751" t="str">
        <f>"PRG4"</f>
        <v>PRG4</v>
      </c>
      <c r="B12751" t="s">
        <v>4</v>
      </c>
    </row>
    <row r="12752" spans="1:2" x14ac:dyDescent="0.2">
      <c r="A12752" t="str">
        <f>"PRH1"</f>
        <v>PRH1</v>
      </c>
      <c r="B12752" t="s">
        <v>4</v>
      </c>
    </row>
    <row r="12753" spans="1:2" x14ac:dyDescent="0.2">
      <c r="A12753" t="str">
        <f>"PRH2"</f>
        <v>PRH2</v>
      </c>
      <c r="B12753" t="s">
        <v>4</v>
      </c>
    </row>
    <row r="12754" spans="1:2" x14ac:dyDescent="0.2">
      <c r="A12754" t="str">
        <f>"PRICKLE1"</f>
        <v>PRICKLE1</v>
      </c>
      <c r="B12754" t="s">
        <v>8</v>
      </c>
    </row>
    <row r="12755" spans="1:2" x14ac:dyDescent="0.2">
      <c r="A12755" t="str">
        <f>"PRICKLE2"</f>
        <v>PRICKLE2</v>
      </c>
      <c r="B12755" t="s">
        <v>4</v>
      </c>
    </row>
    <row r="12756" spans="1:2" x14ac:dyDescent="0.2">
      <c r="A12756" t="str">
        <f>"PRICKLE3"</f>
        <v>PRICKLE3</v>
      </c>
      <c r="B12756" t="s">
        <v>2</v>
      </c>
    </row>
    <row r="12757" spans="1:2" x14ac:dyDescent="0.2">
      <c r="A12757" t="str">
        <f>"PRICKLE4"</f>
        <v>PRICKLE4</v>
      </c>
      <c r="B12757" t="s">
        <v>6</v>
      </c>
    </row>
    <row r="12758" spans="1:2" x14ac:dyDescent="0.2">
      <c r="A12758" t="str">
        <f>"PRIM1"</f>
        <v>PRIM1</v>
      </c>
      <c r="B12758" t="s">
        <v>3</v>
      </c>
    </row>
    <row r="12759" spans="1:2" x14ac:dyDescent="0.2">
      <c r="A12759" t="str">
        <f>"PRIM2"</f>
        <v>PRIM2</v>
      </c>
      <c r="B12759" t="s">
        <v>3</v>
      </c>
    </row>
    <row r="12760" spans="1:2" x14ac:dyDescent="0.2">
      <c r="A12760" t="str">
        <f>"PRIMA1"</f>
        <v>PRIMA1</v>
      </c>
      <c r="B12760" t="s">
        <v>5</v>
      </c>
    </row>
    <row r="12761" spans="1:2" x14ac:dyDescent="0.2">
      <c r="A12761" t="str">
        <f>"PRIMPOL"</f>
        <v>PRIMPOL</v>
      </c>
      <c r="B12761" t="s">
        <v>8</v>
      </c>
    </row>
    <row r="12762" spans="1:2" x14ac:dyDescent="0.2">
      <c r="A12762" t="str">
        <f>"PRKAA1"</f>
        <v>PRKAA1</v>
      </c>
      <c r="B12762" t="s">
        <v>7</v>
      </c>
    </row>
    <row r="12763" spans="1:2" x14ac:dyDescent="0.2">
      <c r="A12763" t="str">
        <f>"PRKAA2"</f>
        <v>PRKAA2</v>
      </c>
      <c r="B12763" t="s">
        <v>7</v>
      </c>
    </row>
    <row r="12764" spans="1:2" x14ac:dyDescent="0.2">
      <c r="A12764" t="str">
        <f>"PRKAB1"</f>
        <v>PRKAB1</v>
      </c>
      <c r="B12764" t="s">
        <v>7</v>
      </c>
    </row>
    <row r="12765" spans="1:2" x14ac:dyDescent="0.2">
      <c r="A12765" t="str">
        <f>"PRKAB2"</f>
        <v>PRKAB2</v>
      </c>
      <c r="B12765" t="s">
        <v>7</v>
      </c>
    </row>
    <row r="12766" spans="1:2" x14ac:dyDescent="0.2">
      <c r="A12766" t="str">
        <f>"PRKACA"</f>
        <v>PRKACA</v>
      </c>
      <c r="B12766" t="s">
        <v>7</v>
      </c>
    </row>
    <row r="12767" spans="1:2" x14ac:dyDescent="0.2">
      <c r="A12767" t="str">
        <f>"PRKACB"</f>
        <v>PRKACB</v>
      </c>
      <c r="B12767" t="s">
        <v>7</v>
      </c>
    </row>
    <row r="12768" spans="1:2" x14ac:dyDescent="0.2">
      <c r="A12768" t="str">
        <f>"PRKACG"</f>
        <v>PRKACG</v>
      </c>
      <c r="B12768" t="s">
        <v>7</v>
      </c>
    </row>
    <row r="12769" spans="1:2" x14ac:dyDescent="0.2">
      <c r="A12769" t="str">
        <f>"PRKAG1"</f>
        <v>PRKAG1</v>
      </c>
      <c r="B12769" t="s">
        <v>7</v>
      </c>
    </row>
    <row r="12770" spans="1:2" x14ac:dyDescent="0.2">
      <c r="A12770" t="str">
        <f>"PRKAG2"</f>
        <v>PRKAG2</v>
      </c>
      <c r="B12770" t="s">
        <v>7</v>
      </c>
    </row>
    <row r="12771" spans="1:2" x14ac:dyDescent="0.2">
      <c r="A12771" t="str">
        <f>"PRKAG3"</f>
        <v>PRKAG3</v>
      </c>
      <c r="B12771" t="s">
        <v>7</v>
      </c>
    </row>
    <row r="12772" spans="1:2" x14ac:dyDescent="0.2">
      <c r="A12772" t="str">
        <f>"PRKAR1A"</f>
        <v>PRKAR1A</v>
      </c>
      <c r="B12772" t="s">
        <v>7</v>
      </c>
    </row>
    <row r="12773" spans="1:2" x14ac:dyDescent="0.2">
      <c r="A12773" t="str">
        <f>"PRKAR1B"</f>
        <v>PRKAR1B</v>
      </c>
      <c r="B12773" t="s">
        <v>7</v>
      </c>
    </row>
    <row r="12774" spans="1:2" x14ac:dyDescent="0.2">
      <c r="A12774" t="str">
        <f>"PRKAR2A"</f>
        <v>PRKAR2A</v>
      </c>
      <c r="B12774" t="s">
        <v>7</v>
      </c>
    </row>
    <row r="12775" spans="1:2" x14ac:dyDescent="0.2">
      <c r="A12775" t="str">
        <f>"PRKAR2B"</f>
        <v>PRKAR2B</v>
      </c>
      <c r="B12775" t="s">
        <v>7</v>
      </c>
    </row>
    <row r="12776" spans="1:2" x14ac:dyDescent="0.2">
      <c r="A12776" t="str">
        <f>"PRKCA"</f>
        <v>PRKCA</v>
      </c>
      <c r="B12776" t="s">
        <v>7</v>
      </c>
    </row>
    <row r="12777" spans="1:2" x14ac:dyDescent="0.2">
      <c r="A12777" t="str">
        <f>"PRKCB"</f>
        <v>PRKCB</v>
      </c>
      <c r="B12777" t="s">
        <v>7</v>
      </c>
    </row>
    <row r="12778" spans="1:2" x14ac:dyDescent="0.2">
      <c r="A12778" t="str">
        <f>"PRKCD"</f>
        <v>PRKCD</v>
      </c>
      <c r="B12778" t="s">
        <v>7</v>
      </c>
    </row>
    <row r="12779" spans="1:2" x14ac:dyDescent="0.2">
      <c r="A12779" t="str">
        <f>"PRKCDBP"</f>
        <v>PRKCDBP</v>
      </c>
      <c r="B12779" t="s">
        <v>7</v>
      </c>
    </row>
    <row r="12780" spans="1:2" x14ac:dyDescent="0.2">
      <c r="A12780" t="str">
        <f>"PRKCE"</f>
        <v>PRKCE</v>
      </c>
      <c r="B12780" t="s">
        <v>7</v>
      </c>
    </row>
    <row r="12781" spans="1:2" x14ac:dyDescent="0.2">
      <c r="A12781" t="str">
        <f>"PRKCG"</f>
        <v>PRKCG</v>
      </c>
      <c r="B12781" t="s">
        <v>7</v>
      </c>
    </row>
    <row r="12782" spans="1:2" x14ac:dyDescent="0.2">
      <c r="A12782" t="str">
        <f>"PRKCH"</f>
        <v>PRKCH</v>
      </c>
      <c r="B12782" t="s">
        <v>7</v>
      </c>
    </row>
    <row r="12783" spans="1:2" x14ac:dyDescent="0.2">
      <c r="A12783" t="str">
        <f>"PRKCI"</f>
        <v>PRKCI</v>
      </c>
      <c r="B12783" t="s">
        <v>7</v>
      </c>
    </row>
    <row r="12784" spans="1:2" x14ac:dyDescent="0.2">
      <c r="A12784" t="str">
        <f>"PRKCQ"</f>
        <v>PRKCQ</v>
      </c>
      <c r="B12784" t="s">
        <v>7</v>
      </c>
    </row>
    <row r="12785" spans="1:2" x14ac:dyDescent="0.2">
      <c r="A12785" t="str">
        <f>"PRKCSH"</f>
        <v>PRKCSH</v>
      </c>
      <c r="B12785" t="s">
        <v>3</v>
      </c>
    </row>
    <row r="12786" spans="1:2" x14ac:dyDescent="0.2">
      <c r="A12786" t="str">
        <f>"PRKCZ"</f>
        <v>PRKCZ</v>
      </c>
      <c r="B12786" t="s">
        <v>7</v>
      </c>
    </row>
    <row r="12787" spans="1:2" x14ac:dyDescent="0.2">
      <c r="A12787" t="str">
        <f>"PRKD1"</f>
        <v>PRKD1</v>
      </c>
      <c r="B12787" t="s">
        <v>7</v>
      </c>
    </row>
    <row r="12788" spans="1:2" x14ac:dyDescent="0.2">
      <c r="A12788" t="str">
        <f>"PRKD2"</f>
        <v>PRKD2</v>
      </c>
      <c r="B12788" t="s">
        <v>7</v>
      </c>
    </row>
    <row r="12789" spans="1:2" x14ac:dyDescent="0.2">
      <c r="A12789" t="str">
        <f>"PRKD3"</f>
        <v>PRKD3</v>
      </c>
      <c r="B12789" t="s">
        <v>7</v>
      </c>
    </row>
    <row r="12790" spans="1:2" x14ac:dyDescent="0.2">
      <c r="A12790" t="str">
        <f>"PRKDC"</f>
        <v>PRKDC</v>
      </c>
      <c r="B12790" t="s">
        <v>7</v>
      </c>
    </row>
    <row r="12791" spans="1:2" x14ac:dyDescent="0.2">
      <c r="A12791" t="str">
        <f>"PRKG1"</f>
        <v>PRKG1</v>
      </c>
      <c r="B12791" t="s">
        <v>7</v>
      </c>
    </row>
    <row r="12792" spans="1:2" x14ac:dyDescent="0.2">
      <c r="A12792" t="str">
        <f>"PRKG2"</f>
        <v>PRKG2</v>
      </c>
      <c r="B12792" t="s">
        <v>7</v>
      </c>
    </row>
    <row r="12793" spans="1:2" x14ac:dyDescent="0.2">
      <c r="A12793" t="str">
        <f>"PRKRA"</f>
        <v>PRKRA</v>
      </c>
      <c r="B12793" t="s">
        <v>7</v>
      </c>
    </row>
    <row r="12794" spans="1:2" x14ac:dyDescent="0.2">
      <c r="A12794" t="str">
        <f>"PRKRIP1"</f>
        <v>PRKRIP1</v>
      </c>
      <c r="B12794" t="s">
        <v>8</v>
      </c>
    </row>
    <row r="12795" spans="1:2" x14ac:dyDescent="0.2">
      <c r="A12795" t="str">
        <f>"PRKRIR"</f>
        <v>PRKRIR</v>
      </c>
      <c r="B12795" t="s">
        <v>7</v>
      </c>
    </row>
    <row r="12796" spans="1:2" x14ac:dyDescent="0.2">
      <c r="A12796" t="str">
        <f>"PRKX"</f>
        <v>PRKX</v>
      </c>
      <c r="B12796" t="s">
        <v>7</v>
      </c>
    </row>
    <row r="12797" spans="1:2" x14ac:dyDescent="0.2">
      <c r="A12797" t="str">
        <f>"PRL"</f>
        <v>PRL</v>
      </c>
      <c r="B12797" t="s">
        <v>6</v>
      </c>
    </row>
    <row r="12798" spans="1:2" x14ac:dyDescent="0.2">
      <c r="A12798" t="str">
        <f>"PRLH"</f>
        <v>PRLH</v>
      </c>
      <c r="B12798" t="s">
        <v>4</v>
      </c>
    </row>
    <row r="12799" spans="1:2" x14ac:dyDescent="0.2">
      <c r="A12799" t="str">
        <f>"PRLHR"</f>
        <v>PRLHR</v>
      </c>
      <c r="B12799" t="s">
        <v>5</v>
      </c>
    </row>
    <row r="12800" spans="1:2" x14ac:dyDescent="0.2">
      <c r="A12800" t="str">
        <f>"PRLR"</f>
        <v>PRLR</v>
      </c>
      <c r="B12800" t="s">
        <v>7</v>
      </c>
    </row>
    <row r="12801" spans="1:2" x14ac:dyDescent="0.2">
      <c r="A12801" t="str">
        <f>"PRM1"</f>
        <v>PRM1</v>
      </c>
      <c r="B12801" t="s">
        <v>4</v>
      </c>
    </row>
    <row r="12802" spans="1:2" x14ac:dyDescent="0.2">
      <c r="A12802" t="str">
        <f>"PRM2"</f>
        <v>PRM2</v>
      </c>
      <c r="B12802" t="s">
        <v>8</v>
      </c>
    </row>
    <row r="12803" spans="1:2" x14ac:dyDescent="0.2">
      <c r="A12803" t="str">
        <f>"PRM3"</f>
        <v>PRM3</v>
      </c>
      <c r="B12803" t="s">
        <v>8</v>
      </c>
    </row>
    <row r="12804" spans="1:2" x14ac:dyDescent="0.2">
      <c r="A12804" t="str">
        <f>"PRMT1"</f>
        <v>PRMT1</v>
      </c>
      <c r="B12804" t="s">
        <v>3</v>
      </c>
    </row>
    <row r="12805" spans="1:2" x14ac:dyDescent="0.2">
      <c r="A12805" t="str">
        <f>"PRMT10"</f>
        <v>PRMT10</v>
      </c>
      <c r="B12805" t="s">
        <v>4</v>
      </c>
    </row>
    <row r="12806" spans="1:2" x14ac:dyDescent="0.2">
      <c r="A12806" t="str">
        <f>"PRMT2"</f>
        <v>PRMT2</v>
      </c>
      <c r="B12806" t="s">
        <v>3</v>
      </c>
    </row>
    <row r="12807" spans="1:2" x14ac:dyDescent="0.2">
      <c r="A12807" t="str">
        <f>"PRMT3"</f>
        <v>PRMT3</v>
      </c>
      <c r="B12807" t="s">
        <v>3</v>
      </c>
    </row>
    <row r="12808" spans="1:2" x14ac:dyDescent="0.2">
      <c r="A12808" t="str">
        <f>"PRMT5"</f>
        <v>PRMT5</v>
      </c>
      <c r="B12808" t="s">
        <v>3</v>
      </c>
    </row>
    <row r="12809" spans="1:2" x14ac:dyDescent="0.2">
      <c r="A12809" t="str">
        <f>"PRMT6"</f>
        <v>PRMT6</v>
      </c>
      <c r="B12809" t="s">
        <v>3</v>
      </c>
    </row>
    <row r="12810" spans="1:2" x14ac:dyDescent="0.2">
      <c r="A12810" t="str">
        <f>"PRMT7"</f>
        <v>PRMT7</v>
      </c>
      <c r="B12810" t="s">
        <v>3</v>
      </c>
    </row>
    <row r="12811" spans="1:2" x14ac:dyDescent="0.2">
      <c r="A12811" t="str">
        <f>"PRMT8"</f>
        <v>PRMT8</v>
      </c>
      <c r="B12811" t="s">
        <v>3</v>
      </c>
    </row>
    <row r="12812" spans="1:2" x14ac:dyDescent="0.2">
      <c r="A12812" t="str">
        <f>"PRND"</f>
        <v>PRND</v>
      </c>
      <c r="B12812" t="s">
        <v>5</v>
      </c>
    </row>
    <row r="12813" spans="1:2" x14ac:dyDescent="0.2">
      <c r="A12813" t="str">
        <f>"PRNP"</f>
        <v>PRNP</v>
      </c>
      <c r="B12813" t="s">
        <v>7</v>
      </c>
    </row>
    <row r="12814" spans="1:2" x14ac:dyDescent="0.2">
      <c r="A12814" t="str">
        <f>"PROB1"</f>
        <v>PROB1</v>
      </c>
      <c r="B12814" t="s">
        <v>4</v>
      </c>
    </row>
    <row r="12815" spans="1:2" x14ac:dyDescent="0.2">
      <c r="A12815" t="str">
        <f>"PROC"</f>
        <v>PROC</v>
      </c>
      <c r="B12815" t="s">
        <v>7</v>
      </c>
    </row>
    <row r="12816" spans="1:2" x14ac:dyDescent="0.2">
      <c r="A12816" t="str">
        <f>"PROCA1"</f>
        <v>PROCA1</v>
      </c>
      <c r="B12816" t="s">
        <v>2</v>
      </c>
    </row>
    <row r="12817" spans="1:2" x14ac:dyDescent="0.2">
      <c r="A12817" t="str">
        <f>"PROCR"</f>
        <v>PROCR</v>
      </c>
      <c r="B12817" t="s">
        <v>3</v>
      </c>
    </row>
    <row r="12818" spans="1:2" x14ac:dyDescent="0.2">
      <c r="A12818" t="str">
        <f>"PRODH"</f>
        <v>PRODH</v>
      </c>
      <c r="B12818" t="s">
        <v>7</v>
      </c>
    </row>
    <row r="12819" spans="1:2" x14ac:dyDescent="0.2">
      <c r="A12819" t="str">
        <f>"PRODH2"</f>
        <v>PRODH2</v>
      </c>
      <c r="B12819" t="s">
        <v>6</v>
      </c>
    </row>
    <row r="12820" spans="1:2" x14ac:dyDescent="0.2">
      <c r="A12820" t="str">
        <f>"PROK1"</f>
        <v>PROK1</v>
      </c>
      <c r="B12820" t="s">
        <v>4</v>
      </c>
    </row>
    <row r="12821" spans="1:2" x14ac:dyDescent="0.2">
      <c r="A12821" t="str">
        <f>"PROK2"</f>
        <v>PROK2</v>
      </c>
      <c r="B12821" t="s">
        <v>3</v>
      </c>
    </row>
    <row r="12822" spans="1:2" x14ac:dyDescent="0.2">
      <c r="A12822" t="str">
        <f>"PROKR1"</f>
        <v>PROKR1</v>
      </c>
      <c r="B12822" t="s">
        <v>5</v>
      </c>
    </row>
    <row r="12823" spans="1:2" x14ac:dyDescent="0.2">
      <c r="A12823" t="str">
        <f>"PROKR2"</f>
        <v>PROKR2</v>
      </c>
      <c r="B12823" t="s">
        <v>5</v>
      </c>
    </row>
    <row r="12824" spans="1:2" x14ac:dyDescent="0.2">
      <c r="A12824" t="str">
        <f>"PROL1"</f>
        <v>PROL1</v>
      </c>
      <c r="B12824" t="s">
        <v>4</v>
      </c>
    </row>
    <row r="12825" spans="1:2" x14ac:dyDescent="0.2">
      <c r="A12825" t="str">
        <f>"PROM1"</f>
        <v>PROM1</v>
      </c>
      <c r="B12825" t="s">
        <v>3</v>
      </c>
    </row>
    <row r="12826" spans="1:2" x14ac:dyDescent="0.2">
      <c r="A12826" t="str">
        <f>"PROM2"</f>
        <v>PROM2</v>
      </c>
      <c r="B12826" t="s">
        <v>5</v>
      </c>
    </row>
    <row r="12827" spans="1:2" x14ac:dyDescent="0.2">
      <c r="A12827" t="str">
        <f>"PROP1"</f>
        <v>PROP1</v>
      </c>
      <c r="B12827" t="s">
        <v>3</v>
      </c>
    </row>
    <row r="12828" spans="1:2" x14ac:dyDescent="0.2">
      <c r="A12828" t="str">
        <f>"PROS1"</f>
        <v>PROS1</v>
      </c>
      <c r="B12828" t="s">
        <v>7</v>
      </c>
    </row>
    <row r="12829" spans="1:2" x14ac:dyDescent="0.2">
      <c r="A12829" t="str">
        <f>"PROSC"</f>
        <v>PROSC</v>
      </c>
      <c r="B12829" t="s">
        <v>7</v>
      </c>
    </row>
    <row r="12830" spans="1:2" x14ac:dyDescent="0.2">
      <c r="A12830" t="str">
        <f>"PROSER1"</f>
        <v>PROSER1</v>
      </c>
      <c r="B12830" t="s">
        <v>4</v>
      </c>
    </row>
    <row r="12831" spans="1:2" x14ac:dyDescent="0.2">
      <c r="A12831" t="str">
        <f>"PROSER2"</f>
        <v>PROSER2</v>
      </c>
      <c r="B12831" t="s">
        <v>4</v>
      </c>
    </row>
    <row r="12832" spans="1:2" x14ac:dyDescent="0.2">
      <c r="A12832" t="str">
        <f>"PROX1"</f>
        <v>PROX1</v>
      </c>
      <c r="B12832" t="s">
        <v>8</v>
      </c>
    </row>
    <row r="12833" spans="1:2" x14ac:dyDescent="0.2">
      <c r="A12833" t="str">
        <f>"PROX2"</f>
        <v>PROX2</v>
      </c>
      <c r="B12833" t="s">
        <v>8</v>
      </c>
    </row>
    <row r="12834" spans="1:2" x14ac:dyDescent="0.2">
      <c r="A12834" t="str">
        <f>"PROZ"</f>
        <v>PROZ</v>
      </c>
      <c r="B12834" t="s">
        <v>7</v>
      </c>
    </row>
    <row r="12835" spans="1:2" x14ac:dyDescent="0.2">
      <c r="A12835" t="str">
        <f>"PRPF18"</f>
        <v>PRPF18</v>
      </c>
      <c r="B12835" t="s">
        <v>8</v>
      </c>
    </row>
    <row r="12836" spans="1:2" x14ac:dyDescent="0.2">
      <c r="A12836" t="str">
        <f>"PRPF19"</f>
        <v>PRPF19</v>
      </c>
      <c r="B12836" t="s">
        <v>3</v>
      </c>
    </row>
    <row r="12837" spans="1:2" x14ac:dyDescent="0.2">
      <c r="A12837" t="str">
        <f>"PRPF3"</f>
        <v>PRPF3</v>
      </c>
      <c r="B12837" t="s">
        <v>2</v>
      </c>
    </row>
    <row r="12838" spans="1:2" x14ac:dyDescent="0.2">
      <c r="A12838" t="str">
        <f>"PRPF31"</f>
        <v>PRPF31</v>
      </c>
      <c r="B12838" t="s">
        <v>2</v>
      </c>
    </row>
    <row r="12839" spans="1:2" x14ac:dyDescent="0.2">
      <c r="A12839" t="str">
        <f>"PRPF38A"</f>
        <v>PRPF38A</v>
      </c>
      <c r="B12839" t="s">
        <v>8</v>
      </c>
    </row>
    <row r="12840" spans="1:2" x14ac:dyDescent="0.2">
      <c r="A12840" t="str">
        <f>"PRPF38B"</f>
        <v>PRPF38B</v>
      </c>
      <c r="B12840" t="s">
        <v>8</v>
      </c>
    </row>
    <row r="12841" spans="1:2" x14ac:dyDescent="0.2">
      <c r="A12841" t="str">
        <f>"PRPF39"</f>
        <v>PRPF39</v>
      </c>
      <c r="B12841" t="s">
        <v>8</v>
      </c>
    </row>
    <row r="12842" spans="1:2" x14ac:dyDescent="0.2">
      <c r="A12842" t="str">
        <f>"PRPF4"</f>
        <v>PRPF4</v>
      </c>
      <c r="B12842" t="s">
        <v>2</v>
      </c>
    </row>
    <row r="12843" spans="1:2" x14ac:dyDescent="0.2">
      <c r="A12843" t="str">
        <f>"PRPF40A"</f>
        <v>PRPF40A</v>
      </c>
      <c r="B12843" t="s">
        <v>8</v>
      </c>
    </row>
    <row r="12844" spans="1:2" x14ac:dyDescent="0.2">
      <c r="A12844" t="str">
        <f>"PRPF40B"</f>
        <v>PRPF40B</v>
      </c>
      <c r="B12844" t="s">
        <v>8</v>
      </c>
    </row>
    <row r="12845" spans="1:2" x14ac:dyDescent="0.2">
      <c r="A12845" t="str">
        <f>"PRPF4B"</f>
        <v>PRPF4B</v>
      </c>
      <c r="B12845" t="s">
        <v>7</v>
      </c>
    </row>
    <row r="12846" spans="1:2" x14ac:dyDescent="0.2">
      <c r="A12846" t="str">
        <f>"PRPF6"</f>
        <v>PRPF6</v>
      </c>
      <c r="B12846" t="s">
        <v>8</v>
      </c>
    </row>
    <row r="12847" spans="1:2" x14ac:dyDescent="0.2">
      <c r="A12847" t="str">
        <f>"PRPF8"</f>
        <v>PRPF8</v>
      </c>
      <c r="B12847" t="s">
        <v>2</v>
      </c>
    </row>
    <row r="12848" spans="1:2" x14ac:dyDescent="0.2">
      <c r="A12848" t="str">
        <f>"PRPH"</f>
        <v>PRPH</v>
      </c>
      <c r="B12848" t="s">
        <v>6</v>
      </c>
    </row>
    <row r="12849" spans="1:2" x14ac:dyDescent="0.2">
      <c r="A12849" t="str">
        <f>"PRPH2"</f>
        <v>PRPH2</v>
      </c>
      <c r="B12849" t="s">
        <v>5</v>
      </c>
    </row>
    <row r="12850" spans="1:2" x14ac:dyDescent="0.2">
      <c r="A12850" t="str">
        <f>"PRPS1"</f>
        <v>PRPS1</v>
      </c>
      <c r="B12850" t="s">
        <v>3</v>
      </c>
    </row>
    <row r="12851" spans="1:2" x14ac:dyDescent="0.2">
      <c r="A12851" t="str">
        <f>"PRPS1L1"</f>
        <v>PRPS1L1</v>
      </c>
      <c r="B12851" t="s">
        <v>7</v>
      </c>
    </row>
    <row r="12852" spans="1:2" x14ac:dyDescent="0.2">
      <c r="A12852" t="str">
        <f>"PRPS2"</f>
        <v>PRPS2</v>
      </c>
      <c r="B12852" t="s">
        <v>3</v>
      </c>
    </row>
    <row r="12853" spans="1:2" x14ac:dyDescent="0.2">
      <c r="A12853" t="str">
        <f>"PRPSAP1"</f>
        <v>PRPSAP1</v>
      </c>
      <c r="B12853" t="s">
        <v>6</v>
      </c>
    </row>
    <row r="12854" spans="1:2" x14ac:dyDescent="0.2">
      <c r="A12854" t="str">
        <f>"PRPSAP2"</f>
        <v>PRPSAP2</v>
      </c>
      <c r="B12854" t="s">
        <v>4</v>
      </c>
    </row>
    <row r="12855" spans="1:2" x14ac:dyDescent="0.2">
      <c r="A12855" t="str">
        <f>"PRR11"</f>
        <v>PRR11</v>
      </c>
      <c r="B12855" t="s">
        <v>2</v>
      </c>
    </row>
    <row r="12856" spans="1:2" x14ac:dyDescent="0.2">
      <c r="A12856" t="str">
        <f>"PRR12"</f>
        <v>PRR12</v>
      </c>
      <c r="B12856" t="s">
        <v>8</v>
      </c>
    </row>
    <row r="12857" spans="1:2" x14ac:dyDescent="0.2">
      <c r="A12857" t="str">
        <f>"PRR13"</f>
        <v>PRR13</v>
      </c>
      <c r="B12857" t="s">
        <v>4</v>
      </c>
    </row>
    <row r="12858" spans="1:2" x14ac:dyDescent="0.2">
      <c r="A12858" t="str">
        <f>"PRR14"</f>
        <v>PRR14</v>
      </c>
      <c r="B12858" t="s">
        <v>4</v>
      </c>
    </row>
    <row r="12859" spans="1:2" x14ac:dyDescent="0.2">
      <c r="A12859" t="str">
        <f>"PRR14L"</f>
        <v>PRR14L</v>
      </c>
      <c r="B12859" t="s">
        <v>4</v>
      </c>
    </row>
    <row r="12860" spans="1:2" x14ac:dyDescent="0.2">
      <c r="A12860" t="str">
        <f>"PRR15"</f>
        <v>PRR15</v>
      </c>
      <c r="B12860" t="s">
        <v>4</v>
      </c>
    </row>
    <row r="12861" spans="1:2" x14ac:dyDescent="0.2">
      <c r="A12861" t="str">
        <f>"PRR15L"</f>
        <v>PRR15L</v>
      </c>
      <c r="B12861" t="s">
        <v>4</v>
      </c>
    </row>
    <row r="12862" spans="1:2" x14ac:dyDescent="0.2">
      <c r="A12862" t="str">
        <f>"PRR16"</f>
        <v>PRR16</v>
      </c>
      <c r="B12862" t="s">
        <v>3</v>
      </c>
    </row>
    <row r="12863" spans="1:2" x14ac:dyDescent="0.2">
      <c r="A12863" t="str">
        <f>"PRR18"</f>
        <v>PRR18</v>
      </c>
      <c r="B12863" t="s">
        <v>2</v>
      </c>
    </row>
    <row r="12864" spans="1:2" x14ac:dyDescent="0.2">
      <c r="A12864" t="str">
        <f>"PRR19"</f>
        <v>PRR19</v>
      </c>
      <c r="B12864" t="s">
        <v>4</v>
      </c>
    </row>
    <row r="12865" spans="1:2" x14ac:dyDescent="0.2">
      <c r="A12865" t="str">
        <f>"PRR20E"</f>
        <v>PRR20E</v>
      </c>
      <c r="B12865" t="s">
        <v>4</v>
      </c>
    </row>
    <row r="12866" spans="1:2" x14ac:dyDescent="0.2">
      <c r="A12866" t="str">
        <f>"PRR21"</f>
        <v>PRR21</v>
      </c>
      <c r="B12866" t="s">
        <v>4</v>
      </c>
    </row>
    <row r="12867" spans="1:2" x14ac:dyDescent="0.2">
      <c r="A12867" t="str">
        <f>"PRR22"</f>
        <v>PRR22</v>
      </c>
      <c r="B12867" t="s">
        <v>6</v>
      </c>
    </row>
    <row r="12868" spans="1:2" x14ac:dyDescent="0.2">
      <c r="A12868" t="str">
        <f>"PRR23A"</f>
        <v>PRR23A</v>
      </c>
      <c r="B12868" t="s">
        <v>4</v>
      </c>
    </row>
    <row r="12869" spans="1:2" x14ac:dyDescent="0.2">
      <c r="A12869" t="str">
        <f>"PRR23B"</f>
        <v>PRR23B</v>
      </c>
      <c r="B12869" t="s">
        <v>4</v>
      </c>
    </row>
    <row r="12870" spans="1:2" x14ac:dyDescent="0.2">
      <c r="A12870" t="str">
        <f>"PRR23C"</f>
        <v>PRR23C</v>
      </c>
      <c r="B12870" t="s">
        <v>4</v>
      </c>
    </row>
    <row r="12871" spans="1:2" x14ac:dyDescent="0.2">
      <c r="A12871" t="str">
        <f>"PRR24"</f>
        <v>PRR24</v>
      </c>
      <c r="B12871" t="s">
        <v>5</v>
      </c>
    </row>
    <row r="12872" spans="1:2" x14ac:dyDescent="0.2">
      <c r="A12872" t="str">
        <f>"PRR25"</f>
        <v>PRR25</v>
      </c>
      <c r="B12872" t="s">
        <v>4</v>
      </c>
    </row>
    <row r="12873" spans="1:2" x14ac:dyDescent="0.2">
      <c r="A12873" t="str">
        <f>"PRR3"</f>
        <v>PRR3</v>
      </c>
      <c r="B12873" t="s">
        <v>8</v>
      </c>
    </row>
    <row r="12874" spans="1:2" x14ac:dyDescent="0.2">
      <c r="A12874" t="str">
        <f>"PRR4"</f>
        <v>PRR4</v>
      </c>
      <c r="B12874" t="s">
        <v>4</v>
      </c>
    </row>
    <row r="12875" spans="1:2" x14ac:dyDescent="0.2">
      <c r="A12875" t="str">
        <f>"PRR5"</f>
        <v>PRR5</v>
      </c>
      <c r="B12875" t="s">
        <v>3</v>
      </c>
    </row>
    <row r="12876" spans="1:2" x14ac:dyDescent="0.2">
      <c r="A12876" t="str">
        <f>"PRR5-ARHGAP8"</f>
        <v>PRR5-ARHGAP8</v>
      </c>
      <c r="B12876" t="s">
        <v>6</v>
      </c>
    </row>
    <row r="12877" spans="1:2" x14ac:dyDescent="0.2">
      <c r="A12877" t="str">
        <f>"PRR5L"</f>
        <v>PRR5L</v>
      </c>
      <c r="B12877" t="s">
        <v>6</v>
      </c>
    </row>
    <row r="12878" spans="1:2" x14ac:dyDescent="0.2">
      <c r="A12878" t="str">
        <f>"PRR7"</f>
        <v>PRR7</v>
      </c>
      <c r="B12878" t="s">
        <v>5</v>
      </c>
    </row>
    <row r="12879" spans="1:2" x14ac:dyDescent="0.2">
      <c r="A12879" t="str">
        <f>"PRR9"</f>
        <v>PRR9</v>
      </c>
      <c r="B12879" t="s">
        <v>4</v>
      </c>
    </row>
    <row r="12880" spans="1:2" x14ac:dyDescent="0.2">
      <c r="A12880" t="str">
        <f>"PRRC1"</f>
        <v>PRRC1</v>
      </c>
      <c r="B12880" t="s">
        <v>2</v>
      </c>
    </row>
    <row r="12881" spans="1:2" x14ac:dyDescent="0.2">
      <c r="A12881" t="str">
        <f>"PRRC2A"</f>
        <v>PRRC2A</v>
      </c>
      <c r="B12881" t="s">
        <v>3</v>
      </c>
    </row>
    <row r="12882" spans="1:2" x14ac:dyDescent="0.2">
      <c r="A12882" t="str">
        <f>"PRRC2B"</f>
        <v>PRRC2B</v>
      </c>
      <c r="B12882" t="s">
        <v>4</v>
      </c>
    </row>
    <row r="12883" spans="1:2" x14ac:dyDescent="0.2">
      <c r="A12883" t="str">
        <f>"PRRC2C"</f>
        <v>PRRC2C</v>
      </c>
      <c r="B12883" t="s">
        <v>4</v>
      </c>
    </row>
    <row r="12884" spans="1:2" x14ac:dyDescent="0.2">
      <c r="A12884" t="str">
        <f>"PRRG1"</f>
        <v>PRRG1</v>
      </c>
      <c r="B12884" t="s">
        <v>5</v>
      </c>
    </row>
    <row r="12885" spans="1:2" x14ac:dyDescent="0.2">
      <c r="A12885" t="str">
        <f>"PRRG2"</f>
        <v>PRRG2</v>
      </c>
      <c r="B12885" t="s">
        <v>5</v>
      </c>
    </row>
    <row r="12886" spans="1:2" x14ac:dyDescent="0.2">
      <c r="A12886" t="str">
        <f>"PRRG3"</f>
        <v>PRRG3</v>
      </c>
      <c r="B12886" t="s">
        <v>5</v>
      </c>
    </row>
    <row r="12887" spans="1:2" x14ac:dyDescent="0.2">
      <c r="A12887" t="str">
        <f>"PRRG4"</f>
        <v>PRRG4</v>
      </c>
      <c r="B12887" t="s">
        <v>5</v>
      </c>
    </row>
    <row r="12888" spans="1:2" x14ac:dyDescent="0.2">
      <c r="A12888" t="str">
        <f>"PRRT1"</f>
        <v>PRRT1</v>
      </c>
      <c r="B12888" t="s">
        <v>5</v>
      </c>
    </row>
    <row r="12889" spans="1:2" x14ac:dyDescent="0.2">
      <c r="A12889" t="str">
        <f>"PRRT2"</f>
        <v>PRRT2</v>
      </c>
      <c r="B12889" t="s">
        <v>5</v>
      </c>
    </row>
    <row r="12890" spans="1:2" x14ac:dyDescent="0.2">
      <c r="A12890" t="str">
        <f>"PRRT3"</f>
        <v>PRRT3</v>
      </c>
      <c r="B12890" t="s">
        <v>5</v>
      </c>
    </row>
    <row r="12891" spans="1:2" x14ac:dyDescent="0.2">
      <c r="A12891" t="str">
        <f>"PRRT4"</f>
        <v>PRRT4</v>
      </c>
      <c r="B12891" t="s">
        <v>5</v>
      </c>
    </row>
    <row r="12892" spans="1:2" x14ac:dyDescent="0.2">
      <c r="A12892" t="str">
        <f>"PRRX1"</f>
        <v>PRRX1</v>
      </c>
      <c r="B12892" t="s">
        <v>3</v>
      </c>
    </row>
    <row r="12893" spans="1:2" x14ac:dyDescent="0.2">
      <c r="A12893" t="str">
        <f>"PRRX2"</f>
        <v>PRRX2</v>
      </c>
      <c r="B12893" t="s">
        <v>8</v>
      </c>
    </row>
    <row r="12894" spans="1:2" x14ac:dyDescent="0.2">
      <c r="A12894" t="str">
        <f>"PRSS1"</f>
        <v>PRSS1</v>
      </c>
      <c r="B12894" t="s">
        <v>7</v>
      </c>
    </row>
    <row r="12895" spans="1:2" x14ac:dyDescent="0.2">
      <c r="A12895" t="str">
        <f>"PRSS12"</f>
        <v>PRSS12</v>
      </c>
      <c r="B12895" t="s">
        <v>2</v>
      </c>
    </row>
    <row r="12896" spans="1:2" x14ac:dyDescent="0.2">
      <c r="A12896" t="str">
        <f>"PRSS16"</f>
        <v>PRSS16</v>
      </c>
      <c r="B12896" t="s">
        <v>2</v>
      </c>
    </row>
    <row r="12897" spans="1:2" x14ac:dyDescent="0.2">
      <c r="A12897" t="str">
        <f>"PRSS2"</f>
        <v>PRSS2</v>
      </c>
      <c r="B12897" t="s">
        <v>7</v>
      </c>
    </row>
    <row r="12898" spans="1:2" x14ac:dyDescent="0.2">
      <c r="A12898" t="str">
        <f>"PRSS21"</f>
        <v>PRSS21</v>
      </c>
      <c r="B12898" t="s">
        <v>2</v>
      </c>
    </row>
    <row r="12899" spans="1:2" x14ac:dyDescent="0.2">
      <c r="A12899" t="str">
        <f>"PRSS22"</f>
        <v>PRSS22</v>
      </c>
      <c r="B12899" t="s">
        <v>2</v>
      </c>
    </row>
    <row r="12900" spans="1:2" x14ac:dyDescent="0.2">
      <c r="A12900" t="str">
        <f>"PRSS23"</f>
        <v>PRSS23</v>
      </c>
      <c r="B12900" t="s">
        <v>2</v>
      </c>
    </row>
    <row r="12901" spans="1:2" x14ac:dyDescent="0.2">
      <c r="A12901" t="str">
        <f>"PRSS27"</f>
        <v>PRSS27</v>
      </c>
      <c r="B12901" t="s">
        <v>2</v>
      </c>
    </row>
    <row r="12902" spans="1:2" x14ac:dyDescent="0.2">
      <c r="A12902" t="str">
        <f>"PRSS3"</f>
        <v>PRSS3</v>
      </c>
      <c r="B12902" t="s">
        <v>7</v>
      </c>
    </row>
    <row r="12903" spans="1:2" x14ac:dyDescent="0.2">
      <c r="A12903" t="str">
        <f>"PRSS33"</f>
        <v>PRSS33</v>
      </c>
      <c r="B12903" t="s">
        <v>2</v>
      </c>
    </row>
    <row r="12904" spans="1:2" x14ac:dyDescent="0.2">
      <c r="A12904" t="str">
        <f>"PRSS35"</f>
        <v>PRSS35</v>
      </c>
      <c r="B12904" t="s">
        <v>2</v>
      </c>
    </row>
    <row r="12905" spans="1:2" x14ac:dyDescent="0.2">
      <c r="A12905" t="str">
        <f>"PRSS36"</f>
        <v>PRSS36</v>
      </c>
      <c r="B12905" t="s">
        <v>2</v>
      </c>
    </row>
    <row r="12906" spans="1:2" x14ac:dyDescent="0.2">
      <c r="A12906" t="str">
        <f>"PRSS37"</f>
        <v>PRSS37</v>
      </c>
      <c r="B12906" t="s">
        <v>2</v>
      </c>
    </row>
    <row r="12907" spans="1:2" x14ac:dyDescent="0.2">
      <c r="A12907" t="str">
        <f>"PRSS38"</f>
        <v>PRSS38</v>
      </c>
      <c r="B12907" t="s">
        <v>2</v>
      </c>
    </row>
    <row r="12908" spans="1:2" x14ac:dyDescent="0.2">
      <c r="A12908" t="str">
        <f>"PRSS42"</f>
        <v>PRSS42</v>
      </c>
      <c r="B12908" t="s">
        <v>2</v>
      </c>
    </row>
    <row r="12909" spans="1:2" x14ac:dyDescent="0.2">
      <c r="A12909" t="str">
        <f>"PRSS45"</f>
        <v>PRSS45</v>
      </c>
      <c r="B12909" t="s">
        <v>2</v>
      </c>
    </row>
    <row r="12910" spans="1:2" x14ac:dyDescent="0.2">
      <c r="A12910" t="str">
        <f>"PRSS46"</f>
        <v>PRSS46</v>
      </c>
      <c r="B12910" t="s">
        <v>4</v>
      </c>
    </row>
    <row r="12911" spans="1:2" x14ac:dyDescent="0.2">
      <c r="A12911" t="str">
        <f>"PRSS48"</f>
        <v>PRSS48</v>
      </c>
      <c r="B12911" t="s">
        <v>2</v>
      </c>
    </row>
    <row r="12912" spans="1:2" x14ac:dyDescent="0.2">
      <c r="A12912" t="str">
        <f>"PRSS50"</f>
        <v>PRSS50</v>
      </c>
      <c r="B12912" t="s">
        <v>2</v>
      </c>
    </row>
    <row r="12913" spans="1:2" x14ac:dyDescent="0.2">
      <c r="A12913" t="str">
        <f>"PRSS51"</f>
        <v>PRSS51</v>
      </c>
      <c r="B12913" t="s">
        <v>4</v>
      </c>
    </row>
    <row r="12914" spans="1:2" x14ac:dyDescent="0.2">
      <c r="A12914" t="str">
        <f>"PRSS53"</f>
        <v>PRSS53</v>
      </c>
      <c r="B12914" t="s">
        <v>2</v>
      </c>
    </row>
    <row r="12915" spans="1:2" x14ac:dyDescent="0.2">
      <c r="A12915" t="str">
        <f>"PRSS54"</f>
        <v>PRSS54</v>
      </c>
      <c r="B12915" t="s">
        <v>2</v>
      </c>
    </row>
    <row r="12916" spans="1:2" x14ac:dyDescent="0.2">
      <c r="A12916" t="str">
        <f>"PRSS55"</f>
        <v>PRSS55</v>
      </c>
      <c r="B12916" t="s">
        <v>2</v>
      </c>
    </row>
    <row r="12917" spans="1:2" x14ac:dyDescent="0.2">
      <c r="A12917" t="str">
        <f>"PRSS56"</f>
        <v>PRSS56</v>
      </c>
      <c r="B12917" t="s">
        <v>4</v>
      </c>
    </row>
    <row r="12918" spans="1:2" x14ac:dyDescent="0.2">
      <c r="A12918" t="str">
        <f>"PRSS57"</f>
        <v>PRSS57</v>
      </c>
      <c r="B12918" t="s">
        <v>2</v>
      </c>
    </row>
    <row r="12919" spans="1:2" x14ac:dyDescent="0.2">
      <c r="A12919" t="str">
        <f>"PRSS58"</f>
        <v>PRSS58</v>
      </c>
      <c r="B12919" t="s">
        <v>2</v>
      </c>
    </row>
    <row r="12920" spans="1:2" x14ac:dyDescent="0.2">
      <c r="A12920" t="str">
        <f>"PRSS8"</f>
        <v>PRSS8</v>
      </c>
      <c r="B12920" t="s">
        <v>7</v>
      </c>
    </row>
    <row r="12921" spans="1:2" x14ac:dyDescent="0.2">
      <c r="A12921" t="str">
        <f>"PRTFDC1"</f>
        <v>PRTFDC1</v>
      </c>
      <c r="B12921" t="s">
        <v>3</v>
      </c>
    </row>
    <row r="12922" spans="1:2" x14ac:dyDescent="0.2">
      <c r="A12922" t="str">
        <f>"PRTG"</f>
        <v>PRTG</v>
      </c>
      <c r="B12922" t="s">
        <v>2</v>
      </c>
    </row>
    <row r="12923" spans="1:2" x14ac:dyDescent="0.2">
      <c r="A12923" t="str">
        <f>"PRTN3"</f>
        <v>PRTN3</v>
      </c>
      <c r="B12923" t="s">
        <v>2</v>
      </c>
    </row>
    <row r="12924" spans="1:2" x14ac:dyDescent="0.2">
      <c r="A12924" t="str">
        <f>"PRUNE"</f>
        <v>PRUNE</v>
      </c>
      <c r="B12924" t="s">
        <v>6</v>
      </c>
    </row>
    <row r="12925" spans="1:2" x14ac:dyDescent="0.2">
      <c r="A12925" t="str">
        <f>"PRUNE2"</f>
        <v>PRUNE2</v>
      </c>
      <c r="B12925" t="s">
        <v>3</v>
      </c>
    </row>
    <row r="12926" spans="1:2" x14ac:dyDescent="0.2">
      <c r="A12926" t="str">
        <f>"PRX"</f>
        <v>PRX</v>
      </c>
      <c r="B12926" t="s">
        <v>7</v>
      </c>
    </row>
    <row r="12927" spans="1:2" x14ac:dyDescent="0.2">
      <c r="A12927" t="str">
        <f>"PRY"</f>
        <v>PRY</v>
      </c>
      <c r="B12927" t="s">
        <v>4</v>
      </c>
    </row>
    <row r="12928" spans="1:2" x14ac:dyDescent="0.2">
      <c r="A12928" t="str">
        <f>"PRY2"</f>
        <v>PRY2</v>
      </c>
      <c r="B12928" t="s">
        <v>6</v>
      </c>
    </row>
    <row r="12929" spans="1:2" x14ac:dyDescent="0.2">
      <c r="A12929" t="str">
        <f>"PSAP"</f>
        <v>PSAP</v>
      </c>
      <c r="B12929" t="s">
        <v>7</v>
      </c>
    </row>
    <row r="12930" spans="1:2" x14ac:dyDescent="0.2">
      <c r="A12930" t="str">
        <f>"PSAPL1"</f>
        <v>PSAPL1</v>
      </c>
      <c r="B12930" t="s">
        <v>4</v>
      </c>
    </row>
    <row r="12931" spans="1:2" x14ac:dyDescent="0.2">
      <c r="A12931" t="str">
        <f>"PSAT1"</f>
        <v>PSAT1</v>
      </c>
      <c r="B12931" t="s">
        <v>7</v>
      </c>
    </row>
    <row r="12932" spans="1:2" x14ac:dyDescent="0.2">
      <c r="A12932" t="str">
        <f>"PSCA"</f>
        <v>PSCA</v>
      </c>
      <c r="B12932" t="s">
        <v>3</v>
      </c>
    </row>
    <row r="12933" spans="1:2" x14ac:dyDescent="0.2">
      <c r="A12933" t="str">
        <f>"PSD"</f>
        <v>PSD</v>
      </c>
      <c r="B12933" t="s">
        <v>6</v>
      </c>
    </row>
    <row r="12934" spans="1:2" x14ac:dyDescent="0.2">
      <c r="A12934" t="str">
        <f>"PSD2"</f>
        <v>PSD2</v>
      </c>
      <c r="B12934" t="s">
        <v>6</v>
      </c>
    </row>
    <row r="12935" spans="1:2" x14ac:dyDescent="0.2">
      <c r="A12935" t="str">
        <f>"PSD3"</f>
        <v>PSD3</v>
      </c>
      <c r="B12935" t="s">
        <v>3</v>
      </c>
    </row>
    <row r="12936" spans="1:2" x14ac:dyDescent="0.2">
      <c r="A12936" t="str">
        <f>"PSD4"</f>
        <v>PSD4</v>
      </c>
      <c r="B12936" t="s">
        <v>6</v>
      </c>
    </row>
    <row r="12937" spans="1:2" x14ac:dyDescent="0.2">
      <c r="A12937" t="str">
        <f>"PSEN1"</f>
        <v>PSEN1</v>
      </c>
      <c r="B12937" t="s">
        <v>3</v>
      </c>
    </row>
    <row r="12938" spans="1:2" x14ac:dyDescent="0.2">
      <c r="A12938" t="str">
        <f>"PSEN2"</f>
        <v>PSEN2</v>
      </c>
      <c r="B12938" t="s">
        <v>2</v>
      </c>
    </row>
    <row r="12939" spans="1:2" x14ac:dyDescent="0.2">
      <c r="A12939" t="str">
        <f>"PSENEN"</f>
        <v>PSENEN</v>
      </c>
      <c r="B12939" t="s">
        <v>3</v>
      </c>
    </row>
    <row r="12940" spans="1:2" x14ac:dyDescent="0.2">
      <c r="A12940" t="str">
        <f>"PSG11"</f>
        <v>PSG11</v>
      </c>
      <c r="B12940" t="s">
        <v>4</v>
      </c>
    </row>
    <row r="12941" spans="1:2" x14ac:dyDescent="0.2">
      <c r="A12941" t="str">
        <f>"PSG2"</f>
        <v>PSG2</v>
      </c>
      <c r="B12941" t="s">
        <v>4</v>
      </c>
    </row>
    <row r="12942" spans="1:2" x14ac:dyDescent="0.2">
      <c r="A12942" t="str">
        <f>"PSG9"</f>
        <v>PSG9</v>
      </c>
      <c r="B12942" t="s">
        <v>4</v>
      </c>
    </row>
    <row r="12943" spans="1:2" x14ac:dyDescent="0.2">
      <c r="A12943" t="str">
        <f>"PSIP1"</f>
        <v>PSIP1</v>
      </c>
      <c r="B12943" t="s">
        <v>3</v>
      </c>
    </row>
    <row r="12944" spans="1:2" x14ac:dyDescent="0.2">
      <c r="A12944" t="str">
        <f>"PSKH1"</f>
        <v>PSKH1</v>
      </c>
      <c r="B12944" t="s">
        <v>7</v>
      </c>
    </row>
    <row r="12945" spans="1:2" x14ac:dyDescent="0.2">
      <c r="A12945" t="str">
        <f>"PSKH2"</f>
        <v>PSKH2</v>
      </c>
      <c r="B12945" t="s">
        <v>7</v>
      </c>
    </row>
    <row r="12946" spans="1:2" x14ac:dyDescent="0.2">
      <c r="A12946" t="str">
        <f>"PSMA1"</f>
        <v>PSMA1</v>
      </c>
      <c r="B12946" t="s">
        <v>2</v>
      </c>
    </row>
    <row r="12947" spans="1:2" x14ac:dyDescent="0.2">
      <c r="A12947" t="str">
        <f>"PSMA2"</f>
        <v>PSMA2</v>
      </c>
      <c r="B12947" t="s">
        <v>2</v>
      </c>
    </row>
    <row r="12948" spans="1:2" x14ac:dyDescent="0.2">
      <c r="A12948" t="str">
        <f>"PSMA3"</f>
        <v>PSMA3</v>
      </c>
      <c r="B12948" t="s">
        <v>2</v>
      </c>
    </row>
    <row r="12949" spans="1:2" x14ac:dyDescent="0.2">
      <c r="A12949" t="str">
        <f>"PSMA4"</f>
        <v>PSMA4</v>
      </c>
      <c r="B12949" t="s">
        <v>2</v>
      </c>
    </row>
    <row r="12950" spans="1:2" x14ac:dyDescent="0.2">
      <c r="A12950" t="str">
        <f>"PSMA5"</f>
        <v>PSMA5</v>
      </c>
      <c r="B12950" t="s">
        <v>2</v>
      </c>
    </row>
    <row r="12951" spans="1:2" x14ac:dyDescent="0.2">
      <c r="A12951" t="str">
        <f>"PSMA6"</f>
        <v>PSMA6</v>
      </c>
      <c r="B12951" t="s">
        <v>2</v>
      </c>
    </row>
    <row r="12952" spans="1:2" x14ac:dyDescent="0.2">
      <c r="A12952" t="str">
        <f>"PSMA7"</f>
        <v>PSMA7</v>
      </c>
      <c r="B12952" t="s">
        <v>2</v>
      </c>
    </row>
    <row r="12953" spans="1:2" x14ac:dyDescent="0.2">
      <c r="A12953" t="str">
        <f>"PSMA8"</f>
        <v>PSMA8</v>
      </c>
      <c r="B12953" t="s">
        <v>2</v>
      </c>
    </row>
    <row r="12954" spans="1:2" x14ac:dyDescent="0.2">
      <c r="A12954" t="str">
        <f>"PSMB1"</f>
        <v>PSMB1</v>
      </c>
      <c r="B12954" t="s">
        <v>2</v>
      </c>
    </row>
    <row r="12955" spans="1:2" x14ac:dyDescent="0.2">
      <c r="A12955" t="str">
        <f>"PSMB10"</f>
        <v>PSMB10</v>
      </c>
      <c r="B12955" t="s">
        <v>2</v>
      </c>
    </row>
    <row r="12956" spans="1:2" x14ac:dyDescent="0.2">
      <c r="A12956" t="str">
        <f>"PSMB11"</f>
        <v>PSMB11</v>
      </c>
      <c r="B12956" t="s">
        <v>2</v>
      </c>
    </row>
    <row r="12957" spans="1:2" x14ac:dyDescent="0.2">
      <c r="A12957" t="str">
        <f>"PSMB2"</f>
        <v>PSMB2</v>
      </c>
      <c r="B12957" t="s">
        <v>2</v>
      </c>
    </row>
    <row r="12958" spans="1:2" x14ac:dyDescent="0.2">
      <c r="A12958" t="str">
        <f>"PSMB3"</f>
        <v>PSMB3</v>
      </c>
      <c r="B12958" t="s">
        <v>2</v>
      </c>
    </row>
    <row r="12959" spans="1:2" x14ac:dyDescent="0.2">
      <c r="A12959" t="str">
        <f>"PSMB4"</f>
        <v>PSMB4</v>
      </c>
      <c r="B12959" t="s">
        <v>2</v>
      </c>
    </row>
    <row r="12960" spans="1:2" x14ac:dyDescent="0.2">
      <c r="A12960" t="str">
        <f>"PSMB5"</f>
        <v>PSMB5</v>
      </c>
      <c r="B12960" t="s">
        <v>2</v>
      </c>
    </row>
    <row r="12961" spans="1:2" x14ac:dyDescent="0.2">
      <c r="A12961" t="str">
        <f>"PSMB6"</f>
        <v>PSMB6</v>
      </c>
      <c r="B12961" t="s">
        <v>2</v>
      </c>
    </row>
    <row r="12962" spans="1:2" x14ac:dyDescent="0.2">
      <c r="A12962" t="str">
        <f>"PSMB7"</f>
        <v>PSMB7</v>
      </c>
      <c r="B12962" t="s">
        <v>2</v>
      </c>
    </row>
    <row r="12963" spans="1:2" x14ac:dyDescent="0.2">
      <c r="A12963" t="str">
        <f>"PSMB8"</f>
        <v>PSMB8</v>
      </c>
      <c r="B12963" t="s">
        <v>2</v>
      </c>
    </row>
    <row r="12964" spans="1:2" x14ac:dyDescent="0.2">
      <c r="A12964" t="str">
        <f>"PSMB9"</f>
        <v>PSMB9</v>
      </c>
      <c r="B12964" t="s">
        <v>2</v>
      </c>
    </row>
    <row r="12965" spans="1:2" x14ac:dyDescent="0.2">
      <c r="A12965" t="str">
        <f>"PSMC1"</f>
        <v>PSMC1</v>
      </c>
      <c r="B12965" t="s">
        <v>2</v>
      </c>
    </row>
    <row r="12966" spans="1:2" x14ac:dyDescent="0.2">
      <c r="A12966" t="str">
        <f>"PSMC2"</f>
        <v>PSMC2</v>
      </c>
      <c r="B12966" t="s">
        <v>2</v>
      </c>
    </row>
    <row r="12967" spans="1:2" x14ac:dyDescent="0.2">
      <c r="A12967" t="str">
        <f>"PSMC3"</f>
        <v>PSMC3</v>
      </c>
      <c r="B12967" t="s">
        <v>2</v>
      </c>
    </row>
    <row r="12968" spans="1:2" x14ac:dyDescent="0.2">
      <c r="A12968" t="str">
        <f>"PSMC3IP"</f>
        <v>PSMC3IP</v>
      </c>
      <c r="B12968" t="s">
        <v>2</v>
      </c>
    </row>
    <row r="12969" spans="1:2" x14ac:dyDescent="0.2">
      <c r="A12969" t="str">
        <f>"PSMC4"</f>
        <v>PSMC4</v>
      </c>
      <c r="B12969" t="s">
        <v>2</v>
      </c>
    </row>
    <row r="12970" spans="1:2" x14ac:dyDescent="0.2">
      <c r="A12970" t="str">
        <f>"PSMC5"</f>
        <v>PSMC5</v>
      </c>
      <c r="B12970" t="s">
        <v>2</v>
      </c>
    </row>
    <row r="12971" spans="1:2" x14ac:dyDescent="0.2">
      <c r="A12971" t="str">
        <f>"PSMC6"</f>
        <v>PSMC6</v>
      </c>
      <c r="B12971" t="s">
        <v>2</v>
      </c>
    </row>
    <row r="12972" spans="1:2" x14ac:dyDescent="0.2">
      <c r="A12972" t="str">
        <f>"PSMD1"</f>
        <v>PSMD1</v>
      </c>
      <c r="B12972" t="s">
        <v>2</v>
      </c>
    </row>
    <row r="12973" spans="1:2" x14ac:dyDescent="0.2">
      <c r="A12973" t="str">
        <f>"PSMD10"</f>
        <v>PSMD10</v>
      </c>
      <c r="B12973" t="s">
        <v>2</v>
      </c>
    </row>
    <row r="12974" spans="1:2" x14ac:dyDescent="0.2">
      <c r="A12974" t="str">
        <f>"PSMD11"</f>
        <v>PSMD11</v>
      </c>
      <c r="B12974" t="s">
        <v>2</v>
      </c>
    </row>
    <row r="12975" spans="1:2" x14ac:dyDescent="0.2">
      <c r="A12975" t="str">
        <f>"PSMD12"</f>
        <v>PSMD12</v>
      </c>
      <c r="B12975" t="s">
        <v>2</v>
      </c>
    </row>
    <row r="12976" spans="1:2" x14ac:dyDescent="0.2">
      <c r="A12976" t="str">
        <f>"PSMD13"</f>
        <v>PSMD13</v>
      </c>
      <c r="B12976" t="s">
        <v>2</v>
      </c>
    </row>
    <row r="12977" spans="1:2" x14ac:dyDescent="0.2">
      <c r="A12977" t="str">
        <f>"PSMD14"</f>
        <v>PSMD14</v>
      </c>
      <c r="B12977" t="s">
        <v>2</v>
      </c>
    </row>
    <row r="12978" spans="1:2" x14ac:dyDescent="0.2">
      <c r="A12978" t="str">
        <f>"PSMD2"</f>
        <v>PSMD2</v>
      </c>
      <c r="B12978" t="s">
        <v>2</v>
      </c>
    </row>
    <row r="12979" spans="1:2" x14ac:dyDescent="0.2">
      <c r="A12979" t="str">
        <f>"PSMD3"</f>
        <v>PSMD3</v>
      </c>
      <c r="B12979" t="s">
        <v>2</v>
      </c>
    </row>
    <row r="12980" spans="1:2" x14ac:dyDescent="0.2">
      <c r="A12980" t="str">
        <f>"PSMD4"</f>
        <v>PSMD4</v>
      </c>
      <c r="B12980" t="s">
        <v>2</v>
      </c>
    </row>
    <row r="12981" spans="1:2" x14ac:dyDescent="0.2">
      <c r="A12981" t="str">
        <f>"PSMD5"</f>
        <v>PSMD5</v>
      </c>
      <c r="B12981" t="s">
        <v>2</v>
      </c>
    </row>
    <row r="12982" spans="1:2" x14ac:dyDescent="0.2">
      <c r="A12982" t="str">
        <f>"PSMD6"</f>
        <v>PSMD6</v>
      </c>
      <c r="B12982" t="s">
        <v>2</v>
      </c>
    </row>
    <row r="12983" spans="1:2" x14ac:dyDescent="0.2">
      <c r="A12983" t="str">
        <f>"PSMD7"</f>
        <v>PSMD7</v>
      </c>
      <c r="B12983" t="s">
        <v>2</v>
      </c>
    </row>
    <row r="12984" spans="1:2" x14ac:dyDescent="0.2">
      <c r="A12984" t="str">
        <f>"PSMD8"</f>
        <v>PSMD8</v>
      </c>
      <c r="B12984" t="s">
        <v>2</v>
      </c>
    </row>
    <row r="12985" spans="1:2" x14ac:dyDescent="0.2">
      <c r="A12985" t="str">
        <f>"PSMD9"</f>
        <v>PSMD9</v>
      </c>
      <c r="B12985" t="s">
        <v>2</v>
      </c>
    </row>
    <row r="12986" spans="1:2" x14ac:dyDescent="0.2">
      <c r="A12986" t="str">
        <f>"PSME1"</f>
        <v>PSME1</v>
      </c>
      <c r="B12986" t="s">
        <v>2</v>
      </c>
    </row>
    <row r="12987" spans="1:2" x14ac:dyDescent="0.2">
      <c r="A12987" t="str">
        <f>"PSME2"</f>
        <v>PSME2</v>
      </c>
      <c r="B12987" t="s">
        <v>2</v>
      </c>
    </row>
    <row r="12988" spans="1:2" x14ac:dyDescent="0.2">
      <c r="A12988" t="str">
        <f>"PSME3"</f>
        <v>PSME3</v>
      </c>
      <c r="B12988" t="s">
        <v>2</v>
      </c>
    </row>
    <row r="12989" spans="1:2" x14ac:dyDescent="0.2">
      <c r="A12989" t="str">
        <f>"PSME4"</f>
        <v>PSME4</v>
      </c>
      <c r="B12989" t="s">
        <v>2</v>
      </c>
    </row>
    <row r="12990" spans="1:2" x14ac:dyDescent="0.2">
      <c r="A12990" t="str">
        <f>"PSMF1"</f>
        <v>PSMF1</v>
      </c>
      <c r="B12990" t="s">
        <v>2</v>
      </c>
    </row>
    <row r="12991" spans="1:2" x14ac:dyDescent="0.2">
      <c r="A12991" t="str">
        <f>"PSMG1"</f>
        <v>PSMG1</v>
      </c>
      <c r="B12991" t="s">
        <v>2</v>
      </c>
    </row>
    <row r="12992" spans="1:2" x14ac:dyDescent="0.2">
      <c r="A12992" t="str">
        <f>"PSMG2"</f>
        <v>PSMG2</v>
      </c>
      <c r="B12992" t="s">
        <v>2</v>
      </c>
    </row>
    <row r="12993" spans="1:2" x14ac:dyDescent="0.2">
      <c r="A12993" t="str">
        <f>"PSMG3"</f>
        <v>PSMG3</v>
      </c>
      <c r="B12993" t="s">
        <v>2</v>
      </c>
    </row>
    <row r="12994" spans="1:2" x14ac:dyDescent="0.2">
      <c r="A12994" t="str">
        <f>"PSMG4"</f>
        <v>PSMG4</v>
      </c>
      <c r="B12994" t="s">
        <v>2</v>
      </c>
    </row>
    <row r="12995" spans="1:2" x14ac:dyDescent="0.2">
      <c r="A12995" t="str">
        <f>"PSORS1C1"</f>
        <v>PSORS1C1</v>
      </c>
      <c r="B12995" t="s">
        <v>4</v>
      </c>
    </row>
    <row r="12996" spans="1:2" x14ac:dyDescent="0.2">
      <c r="A12996" t="str">
        <f>"PSORS1C2"</f>
        <v>PSORS1C2</v>
      </c>
      <c r="B12996" t="s">
        <v>4</v>
      </c>
    </row>
    <row r="12997" spans="1:2" x14ac:dyDescent="0.2">
      <c r="A12997" t="str">
        <f>"PSPC1"</f>
        <v>PSPC1</v>
      </c>
      <c r="B12997" t="s">
        <v>3</v>
      </c>
    </row>
    <row r="12998" spans="1:2" x14ac:dyDescent="0.2">
      <c r="A12998" t="str">
        <f>"PSPH"</f>
        <v>PSPH</v>
      </c>
      <c r="B12998" t="s">
        <v>7</v>
      </c>
    </row>
    <row r="12999" spans="1:2" x14ac:dyDescent="0.2">
      <c r="A12999" t="str">
        <f>"PSPN"</f>
        <v>PSPN</v>
      </c>
      <c r="B12999" t="s">
        <v>4</v>
      </c>
    </row>
    <row r="13000" spans="1:2" x14ac:dyDescent="0.2">
      <c r="A13000" t="str">
        <f>"PSRC1"</f>
        <v>PSRC1</v>
      </c>
      <c r="B13000" t="s">
        <v>4</v>
      </c>
    </row>
    <row r="13001" spans="1:2" x14ac:dyDescent="0.2">
      <c r="A13001" t="str">
        <f>"PSTK"</f>
        <v>PSTK</v>
      </c>
      <c r="B13001" t="s">
        <v>3</v>
      </c>
    </row>
    <row r="13002" spans="1:2" x14ac:dyDescent="0.2">
      <c r="A13002" t="str">
        <f>"PSTPIP1"</f>
        <v>PSTPIP1</v>
      </c>
      <c r="B13002" t="s">
        <v>7</v>
      </c>
    </row>
    <row r="13003" spans="1:2" x14ac:dyDescent="0.2">
      <c r="A13003" t="str">
        <f>"PSTPIP2"</f>
        <v>PSTPIP2</v>
      </c>
      <c r="B13003" t="s">
        <v>7</v>
      </c>
    </row>
    <row r="13004" spans="1:2" x14ac:dyDescent="0.2">
      <c r="A13004" t="str">
        <f>"PTAFR"</f>
        <v>PTAFR</v>
      </c>
      <c r="B13004" t="s">
        <v>5</v>
      </c>
    </row>
    <row r="13005" spans="1:2" x14ac:dyDescent="0.2">
      <c r="A13005" t="str">
        <f>"PTAR1"</f>
        <v>PTAR1</v>
      </c>
      <c r="B13005" t="s">
        <v>4</v>
      </c>
    </row>
    <row r="13006" spans="1:2" x14ac:dyDescent="0.2">
      <c r="A13006" t="str">
        <f>"PTBP1"</f>
        <v>PTBP1</v>
      </c>
      <c r="B13006" t="s">
        <v>3</v>
      </c>
    </row>
    <row r="13007" spans="1:2" x14ac:dyDescent="0.2">
      <c r="A13007" t="str">
        <f>"PTBP2"</f>
        <v>PTBP2</v>
      </c>
      <c r="B13007" t="s">
        <v>8</v>
      </c>
    </row>
    <row r="13008" spans="1:2" x14ac:dyDescent="0.2">
      <c r="A13008" t="str">
        <f>"PTBP3"</f>
        <v>PTBP3</v>
      </c>
      <c r="B13008" t="s">
        <v>8</v>
      </c>
    </row>
    <row r="13009" spans="1:2" x14ac:dyDescent="0.2">
      <c r="A13009" t="str">
        <f>"PTCD1"</f>
        <v>PTCD1</v>
      </c>
      <c r="B13009" t="s">
        <v>6</v>
      </c>
    </row>
    <row r="13010" spans="1:2" x14ac:dyDescent="0.2">
      <c r="A13010" t="str">
        <f>"PTCD2"</f>
        <v>PTCD2</v>
      </c>
      <c r="B13010" t="s">
        <v>6</v>
      </c>
    </row>
    <row r="13011" spans="1:2" x14ac:dyDescent="0.2">
      <c r="A13011" t="str">
        <f>"PTCD3"</f>
        <v>PTCD3</v>
      </c>
      <c r="B13011" t="s">
        <v>6</v>
      </c>
    </row>
    <row r="13012" spans="1:2" x14ac:dyDescent="0.2">
      <c r="A13012" t="str">
        <f>"PTCH1"</f>
        <v>PTCH1</v>
      </c>
      <c r="B13012" t="s">
        <v>3</v>
      </c>
    </row>
    <row r="13013" spans="1:2" x14ac:dyDescent="0.2">
      <c r="A13013" t="str">
        <f>"PTCH2"</f>
        <v>PTCH2</v>
      </c>
      <c r="B13013" t="s">
        <v>3</v>
      </c>
    </row>
    <row r="13014" spans="1:2" x14ac:dyDescent="0.2">
      <c r="A13014" t="str">
        <f>"PTCHD1"</f>
        <v>PTCHD1</v>
      </c>
      <c r="B13014" t="s">
        <v>5</v>
      </c>
    </row>
    <row r="13015" spans="1:2" x14ac:dyDescent="0.2">
      <c r="A13015" t="str">
        <f>"PTCHD2"</f>
        <v>PTCHD2</v>
      </c>
      <c r="B13015" t="s">
        <v>8</v>
      </c>
    </row>
    <row r="13016" spans="1:2" x14ac:dyDescent="0.2">
      <c r="A13016" t="str">
        <f>"PTCHD3"</f>
        <v>PTCHD3</v>
      </c>
      <c r="B13016" t="s">
        <v>5</v>
      </c>
    </row>
    <row r="13017" spans="1:2" x14ac:dyDescent="0.2">
      <c r="A13017" t="str">
        <f>"PTCHD4"</f>
        <v>PTCHD4</v>
      </c>
      <c r="B13017" t="s">
        <v>4</v>
      </c>
    </row>
    <row r="13018" spans="1:2" x14ac:dyDescent="0.2">
      <c r="A13018" t="str">
        <f>"PTCRA"</f>
        <v>PTCRA</v>
      </c>
      <c r="B13018" t="s">
        <v>3</v>
      </c>
    </row>
    <row r="13019" spans="1:2" x14ac:dyDescent="0.2">
      <c r="A13019" t="str">
        <f>"PTDSS1"</f>
        <v>PTDSS1</v>
      </c>
      <c r="B13019" t="s">
        <v>7</v>
      </c>
    </row>
    <row r="13020" spans="1:2" x14ac:dyDescent="0.2">
      <c r="A13020" t="str">
        <f>"PTDSS2"</f>
        <v>PTDSS2</v>
      </c>
      <c r="B13020" t="s">
        <v>7</v>
      </c>
    </row>
    <row r="13021" spans="1:2" x14ac:dyDescent="0.2">
      <c r="A13021" t="str">
        <f>"PTEN"</f>
        <v>PTEN</v>
      </c>
      <c r="B13021" t="s">
        <v>7</v>
      </c>
    </row>
    <row r="13022" spans="1:2" x14ac:dyDescent="0.2">
      <c r="A13022" t="str">
        <f>"PTER"</f>
        <v>PTER</v>
      </c>
      <c r="B13022" t="s">
        <v>4</v>
      </c>
    </row>
    <row r="13023" spans="1:2" x14ac:dyDescent="0.2">
      <c r="A13023" t="str">
        <f>"PTF1A"</f>
        <v>PTF1A</v>
      </c>
      <c r="B13023" t="s">
        <v>8</v>
      </c>
    </row>
    <row r="13024" spans="1:2" x14ac:dyDescent="0.2">
      <c r="A13024" t="str">
        <f>"PTGDR"</f>
        <v>PTGDR</v>
      </c>
      <c r="B13024" t="s">
        <v>7</v>
      </c>
    </row>
    <row r="13025" spans="1:2" x14ac:dyDescent="0.2">
      <c r="A13025" t="str">
        <f>"PTGDR2"</f>
        <v>PTGDR2</v>
      </c>
      <c r="B13025" t="s">
        <v>5</v>
      </c>
    </row>
    <row r="13026" spans="1:2" x14ac:dyDescent="0.2">
      <c r="A13026" t="str">
        <f>"PTGDS"</f>
        <v>PTGDS</v>
      </c>
      <c r="B13026" t="s">
        <v>6</v>
      </c>
    </row>
    <row r="13027" spans="1:2" x14ac:dyDescent="0.2">
      <c r="A13027" t="str">
        <f>"PTGER1"</f>
        <v>PTGER1</v>
      </c>
      <c r="B13027" t="s">
        <v>7</v>
      </c>
    </row>
    <row r="13028" spans="1:2" x14ac:dyDescent="0.2">
      <c r="A13028" t="str">
        <f>"PTGER2"</f>
        <v>PTGER2</v>
      </c>
      <c r="B13028" t="s">
        <v>7</v>
      </c>
    </row>
    <row r="13029" spans="1:2" x14ac:dyDescent="0.2">
      <c r="A13029" t="str">
        <f>"PTGER3"</f>
        <v>PTGER3</v>
      </c>
      <c r="B13029" t="s">
        <v>7</v>
      </c>
    </row>
    <row r="13030" spans="1:2" x14ac:dyDescent="0.2">
      <c r="A13030" t="str">
        <f>"PTGER4"</f>
        <v>PTGER4</v>
      </c>
      <c r="B13030" t="s">
        <v>7</v>
      </c>
    </row>
    <row r="13031" spans="1:2" x14ac:dyDescent="0.2">
      <c r="A13031" t="str">
        <f>"PTGES"</f>
        <v>PTGES</v>
      </c>
      <c r="B13031" t="s">
        <v>3</v>
      </c>
    </row>
    <row r="13032" spans="1:2" x14ac:dyDescent="0.2">
      <c r="A13032" t="str">
        <f>"PTGES2"</f>
        <v>PTGES2</v>
      </c>
      <c r="B13032" t="s">
        <v>6</v>
      </c>
    </row>
    <row r="13033" spans="1:2" x14ac:dyDescent="0.2">
      <c r="A13033" t="str">
        <f>"PTGES3"</f>
        <v>PTGES3</v>
      </c>
      <c r="B13033" t="s">
        <v>2</v>
      </c>
    </row>
    <row r="13034" spans="1:2" x14ac:dyDescent="0.2">
      <c r="A13034" t="str">
        <f>"PTGES3L"</f>
        <v>PTGES3L</v>
      </c>
      <c r="B13034" t="s">
        <v>4</v>
      </c>
    </row>
    <row r="13035" spans="1:2" x14ac:dyDescent="0.2">
      <c r="A13035" t="str">
        <f>"PTGES3L-AARSD1"</f>
        <v>PTGES3L-AARSD1</v>
      </c>
      <c r="B13035" t="s">
        <v>4</v>
      </c>
    </row>
    <row r="13036" spans="1:2" x14ac:dyDescent="0.2">
      <c r="A13036" t="str">
        <f>"PTGFR"</f>
        <v>PTGFR</v>
      </c>
      <c r="B13036" t="s">
        <v>7</v>
      </c>
    </row>
    <row r="13037" spans="1:2" x14ac:dyDescent="0.2">
      <c r="A13037" t="str">
        <f>"PTGFRN"</f>
        <v>PTGFRN</v>
      </c>
      <c r="B13037" t="s">
        <v>6</v>
      </c>
    </row>
    <row r="13038" spans="1:2" x14ac:dyDescent="0.2">
      <c r="A13038" t="str">
        <f>"PTGIR"</f>
        <v>PTGIR</v>
      </c>
      <c r="B13038" t="s">
        <v>7</v>
      </c>
    </row>
    <row r="13039" spans="1:2" x14ac:dyDescent="0.2">
      <c r="A13039" t="str">
        <f>"PTGIS"</f>
        <v>PTGIS</v>
      </c>
      <c r="B13039" t="s">
        <v>7</v>
      </c>
    </row>
    <row r="13040" spans="1:2" x14ac:dyDescent="0.2">
      <c r="A13040" t="str">
        <f>"PTGR1"</f>
        <v>PTGR1</v>
      </c>
      <c r="B13040" t="s">
        <v>7</v>
      </c>
    </row>
    <row r="13041" spans="1:2" x14ac:dyDescent="0.2">
      <c r="A13041" t="str">
        <f>"PTGR2"</f>
        <v>PTGR2</v>
      </c>
      <c r="B13041" t="s">
        <v>7</v>
      </c>
    </row>
    <row r="13042" spans="1:2" x14ac:dyDescent="0.2">
      <c r="A13042" t="str">
        <f>"PTGS1"</f>
        <v>PTGS1</v>
      </c>
      <c r="B13042" t="s">
        <v>7</v>
      </c>
    </row>
    <row r="13043" spans="1:2" x14ac:dyDescent="0.2">
      <c r="A13043" t="str">
        <f>"PTGS2"</f>
        <v>PTGS2</v>
      </c>
      <c r="B13043" t="s">
        <v>3</v>
      </c>
    </row>
    <row r="13044" spans="1:2" x14ac:dyDescent="0.2">
      <c r="A13044" t="str">
        <f>"PTH"</f>
        <v>PTH</v>
      </c>
      <c r="B13044" t="s">
        <v>7</v>
      </c>
    </row>
    <row r="13045" spans="1:2" x14ac:dyDescent="0.2">
      <c r="A13045" t="str">
        <f>"PTH1R"</f>
        <v>PTH1R</v>
      </c>
      <c r="B13045" t="s">
        <v>7</v>
      </c>
    </row>
    <row r="13046" spans="1:2" x14ac:dyDescent="0.2">
      <c r="A13046" t="str">
        <f>"PTH2"</f>
        <v>PTH2</v>
      </c>
      <c r="B13046" t="s">
        <v>5</v>
      </c>
    </row>
    <row r="13047" spans="1:2" x14ac:dyDescent="0.2">
      <c r="A13047" t="str">
        <f>"PTH2R"</f>
        <v>PTH2R</v>
      </c>
      <c r="B13047" t="s">
        <v>5</v>
      </c>
    </row>
    <row r="13048" spans="1:2" x14ac:dyDescent="0.2">
      <c r="A13048" t="str">
        <f>"PTHLH"</f>
        <v>PTHLH</v>
      </c>
      <c r="B13048" t="s">
        <v>3</v>
      </c>
    </row>
    <row r="13049" spans="1:2" x14ac:dyDescent="0.2">
      <c r="A13049" t="str">
        <f>"PTK2"</f>
        <v>PTK2</v>
      </c>
      <c r="B13049" t="s">
        <v>7</v>
      </c>
    </row>
    <row r="13050" spans="1:2" x14ac:dyDescent="0.2">
      <c r="A13050" t="str">
        <f>"PTK2B"</f>
        <v>PTK2B</v>
      </c>
      <c r="B13050" t="s">
        <v>7</v>
      </c>
    </row>
    <row r="13051" spans="1:2" x14ac:dyDescent="0.2">
      <c r="A13051" t="str">
        <f>"PTK6"</f>
        <v>PTK6</v>
      </c>
      <c r="B13051" t="s">
        <v>7</v>
      </c>
    </row>
    <row r="13052" spans="1:2" x14ac:dyDescent="0.2">
      <c r="A13052" t="str">
        <f>"PTK7"</f>
        <v>PTK7</v>
      </c>
      <c r="B13052" t="s">
        <v>7</v>
      </c>
    </row>
    <row r="13053" spans="1:2" x14ac:dyDescent="0.2">
      <c r="A13053" t="str">
        <f>"PTMA"</f>
        <v>PTMA</v>
      </c>
      <c r="B13053" t="s">
        <v>3</v>
      </c>
    </row>
    <row r="13054" spans="1:2" x14ac:dyDescent="0.2">
      <c r="A13054" t="str">
        <f>"PTMS"</f>
        <v>PTMS</v>
      </c>
      <c r="B13054" t="s">
        <v>4</v>
      </c>
    </row>
    <row r="13055" spans="1:2" x14ac:dyDescent="0.2">
      <c r="A13055" t="str">
        <f>"PTN"</f>
        <v>PTN</v>
      </c>
      <c r="B13055" t="s">
        <v>3</v>
      </c>
    </row>
    <row r="13056" spans="1:2" x14ac:dyDescent="0.2">
      <c r="A13056" t="str">
        <f>"PTOV1"</f>
        <v>PTOV1</v>
      </c>
      <c r="B13056" t="s">
        <v>8</v>
      </c>
    </row>
    <row r="13057" spans="1:2" x14ac:dyDescent="0.2">
      <c r="A13057" t="str">
        <f>"PTP4A1"</f>
        <v>PTP4A1</v>
      </c>
      <c r="B13057" t="s">
        <v>7</v>
      </c>
    </row>
    <row r="13058" spans="1:2" x14ac:dyDescent="0.2">
      <c r="A13058" t="str">
        <f>"PTP4A2"</f>
        <v>PTP4A2</v>
      </c>
      <c r="B13058" t="s">
        <v>7</v>
      </c>
    </row>
    <row r="13059" spans="1:2" x14ac:dyDescent="0.2">
      <c r="A13059" t="str">
        <f>"PTP4A3"</f>
        <v>PTP4A3</v>
      </c>
      <c r="B13059" t="s">
        <v>7</v>
      </c>
    </row>
    <row r="13060" spans="1:2" x14ac:dyDescent="0.2">
      <c r="A13060" t="str">
        <f>"PTPDC1"</f>
        <v>PTPDC1</v>
      </c>
      <c r="B13060" t="s">
        <v>7</v>
      </c>
    </row>
    <row r="13061" spans="1:2" x14ac:dyDescent="0.2">
      <c r="A13061" t="str">
        <f>"PTPLA"</f>
        <v>PTPLA</v>
      </c>
      <c r="B13061" t="s">
        <v>7</v>
      </c>
    </row>
    <row r="13062" spans="1:2" x14ac:dyDescent="0.2">
      <c r="A13062" t="str">
        <f>"PTPLAD1"</f>
        <v>PTPLAD1</v>
      </c>
      <c r="B13062" t="s">
        <v>6</v>
      </c>
    </row>
    <row r="13063" spans="1:2" x14ac:dyDescent="0.2">
      <c r="A13063" t="str">
        <f>"PTPLAD2"</f>
        <v>PTPLAD2</v>
      </c>
      <c r="B13063" t="s">
        <v>3</v>
      </c>
    </row>
    <row r="13064" spans="1:2" x14ac:dyDescent="0.2">
      <c r="A13064" t="str">
        <f>"PTPLB"</f>
        <v>PTPLB</v>
      </c>
      <c r="B13064" t="s">
        <v>7</v>
      </c>
    </row>
    <row r="13065" spans="1:2" x14ac:dyDescent="0.2">
      <c r="A13065" t="str">
        <f>"PTPMT1"</f>
        <v>PTPMT1</v>
      </c>
      <c r="B13065" t="s">
        <v>7</v>
      </c>
    </row>
    <row r="13066" spans="1:2" x14ac:dyDescent="0.2">
      <c r="A13066" t="str">
        <f>"PTPN1"</f>
        <v>PTPN1</v>
      </c>
      <c r="B13066" t="s">
        <v>7</v>
      </c>
    </row>
    <row r="13067" spans="1:2" x14ac:dyDescent="0.2">
      <c r="A13067" t="str">
        <f>"PTPN11"</f>
        <v>PTPN11</v>
      </c>
      <c r="B13067" t="s">
        <v>7</v>
      </c>
    </row>
    <row r="13068" spans="1:2" x14ac:dyDescent="0.2">
      <c r="A13068" t="str">
        <f>"PTPN12"</f>
        <v>PTPN12</v>
      </c>
      <c r="B13068" t="s">
        <v>7</v>
      </c>
    </row>
    <row r="13069" spans="1:2" x14ac:dyDescent="0.2">
      <c r="A13069" t="str">
        <f>"PTPN13"</f>
        <v>PTPN13</v>
      </c>
      <c r="B13069" t="s">
        <v>7</v>
      </c>
    </row>
    <row r="13070" spans="1:2" x14ac:dyDescent="0.2">
      <c r="A13070" t="str">
        <f>"PTPN14"</f>
        <v>PTPN14</v>
      </c>
      <c r="B13070" t="s">
        <v>7</v>
      </c>
    </row>
    <row r="13071" spans="1:2" x14ac:dyDescent="0.2">
      <c r="A13071" t="str">
        <f>"PTPN18"</f>
        <v>PTPN18</v>
      </c>
      <c r="B13071" t="s">
        <v>7</v>
      </c>
    </row>
    <row r="13072" spans="1:2" x14ac:dyDescent="0.2">
      <c r="A13072" t="str">
        <f>"PTPN2"</f>
        <v>PTPN2</v>
      </c>
      <c r="B13072" t="s">
        <v>7</v>
      </c>
    </row>
    <row r="13073" spans="1:2" x14ac:dyDescent="0.2">
      <c r="A13073" t="str">
        <f>"PTPN20A"</f>
        <v>PTPN20A</v>
      </c>
      <c r="B13073" t="s">
        <v>8</v>
      </c>
    </row>
    <row r="13074" spans="1:2" x14ac:dyDescent="0.2">
      <c r="A13074" t="str">
        <f>"PTPN20B"</f>
        <v>PTPN20B</v>
      </c>
      <c r="B13074" t="s">
        <v>7</v>
      </c>
    </row>
    <row r="13075" spans="1:2" x14ac:dyDescent="0.2">
      <c r="A13075" t="str">
        <f>"PTPN21"</f>
        <v>PTPN21</v>
      </c>
      <c r="B13075" t="s">
        <v>7</v>
      </c>
    </row>
    <row r="13076" spans="1:2" x14ac:dyDescent="0.2">
      <c r="A13076" t="str">
        <f>"PTPN22"</f>
        <v>PTPN22</v>
      </c>
      <c r="B13076" t="s">
        <v>7</v>
      </c>
    </row>
    <row r="13077" spans="1:2" x14ac:dyDescent="0.2">
      <c r="A13077" t="str">
        <f>"PTPN23"</f>
        <v>PTPN23</v>
      </c>
      <c r="B13077" t="s">
        <v>7</v>
      </c>
    </row>
    <row r="13078" spans="1:2" x14ac:dyDescent="0.2">
      <c r="A13078" t="str">
        <f>"PTPN3"</f>
        <v>PTPN3</v>
      </c>
      <c r="B13078" t="s">
        <v>7</v>
      </c>
    </row>
    <row r="13079" spans="1:2" x14ac:dyDescent="0.2">
      <c r="A13079" t="str">
        <f>"PTPN4"</f>
        <v>PTPN4</v>
      </c>
      <c r="B13079" t="s">
        <v>7</v>
      </c>
    </row>
    <row r="13080" spans="1:2" x14ac:dyDescent="0.2">
      <c r="A13080" t="str">
        <f>"PTPN5"</f>
        <v>PTPN5</v>
      </c>
      <c r="B13080" t="s">
        <v>7</v>
      </c>
    </row>
    <row r="13081" spans="1:2" x14ac:dyDescent="0.2">
      <c r="A13081" t="str">
        <f>"PTPN6"</f>
        <v>PTPN6</v>
      </c>
      <c r="B13081" t="s">
        <v>7</v>
      </c>
    </row>
    <row r="13082" spans="1:2" x14ac:dyDescent="0.2">
      <c r="A13082" t="str">
        <f>"PTPN7"</f>
        <v>PTPN7</v>
      </c>
      <c r="B13082" t="s">
        <v>7</v>
      </c>
    </row>
    <row r="13083" spans="1:2" x14ac:dyDescent="0.2">
      <c r="A13083" t="str">
        <f>"PTPN9"</f>
        <v>PTPN9</v>
      </c>
      <c r="B13083" t="s">
        <v>7</v>
      </c>
    </row>
    <row r="13084" spans="1:2" x14ac:dyDescent="0.2">
      <c r="A13084" t="str">
        <f>"PTPRA"</f>
        <v>PTPRA</v>
      </c>
      <c r="B13084" t="s">
        <v>7</v>
      </c>
    </row>
    <row r="13085" spans="1:2" x14ac:dyDescent="0.2">
      <c r="A13085" t="str">
        <f>"PTPRB"</f>
        <v>PTPRB</v>
      </c>
      <c r="B13085" t="s">
        <v>7</v>
      </c>
    </row>
    <row r="13086" spans="1:2" x14ac:dyDescent="0.2">
      <c r="A13086" t="str">
        <f>"PTPRC"</f>
        <v>PTPRC</v>
      </c>
      <c r="B13086" t="s">
        <v>7</v>
      </c>
    </row>
    <row r="13087" spans="1:2" x14ac:dyDescent="0.2">
      <c r="A13087" t="str">
        <f>"PTPRCAP"</f>
        <v>PTPRCAP</v>
      </c>
      <c r="B13087" t="s">
        <v>8</v>
      </c>
    </row>
    <row r="13088" spans="1:2" x14ac:dyDescent="0.2">
      <c r="A13088" t="str">
        <f>"PTPRD"</f>
        <v>PTPRD</v>
      </c>
      <c r="B13088" t="s">
        <v>7</v>
      </c>
    </row>
    <row r="13089" spans="1:2" x14ac:dyDescent="0.2">
      <c r="A13089" t="str">
        <f>"PTPRE"</f>
        <v>PTPRE</v>
      </c>
      <c r="B13089" t="s">
        <v>7</v>
      </c>
    </row>
    <row r="13090" spans="1:2" x14ac:dyDescent="0.2">
      <c r="A13090" t="str">
        <f>"PTPRF"</f>
        <v>PTPRF</v>
      </c>
      <c r="B13090" t="s">
        <v>7</v>
      </c>
    </row>
    <row r="13091" spans="1:2" x14ac:dyDescent="0.2">
      <c r="A13091" t="str">
        <f>"PTPRG"</f>
        <v>PTPRG</v>
      </c>
      <c r="B13091" t="s">
        <v>7</v>
      </c>
    </row>
    <row r="13092" spans="1:2" x14ac:dyDescent="0.2">
      <c r="A13092" t="str">
        <f>"PTPRH"</f>
        <v>PTPRH</v>
      </c>
      <c r="B13092" t="s">
        <v>7</v>
      </c>
    </row>
    <row r="13093" spans="1:2" x14ac:dyDescent="0.2">
      <c r="A13093" t="str">
        <f>"PTPRJ"</f>
        <v>PTPRJ</v>
      </c>
      <c r="B13093" t="s">
        <v>7</v>
      </c>
    </row>
    <row r="13094" spans="1:2" x14ac:dyDescent="0.2">
      <c r="A13094" t="str">
        <f>"PTPRK"</f>
        <v>PTPRK</v>
      </c>
      <c r="B13094" t="s">
        <v>7</v>
      </c>
    </row>
    <row r="13095" spans="1:2" x14ac:dyDescent="0.2">
      <c r="A13095" t="str">
        <f>"PTPRM"</f>
        <v>PTPRM</v>
      </c>
      <c r="B13095" t="s">
        <v>7</v>
      </c>
    </row>
    <row r="13096" spans="1:2" x14ac:dyDescent="0.2">
      <c r="A13096" t="str">
        <f>"PTPRN"</f>
        <v>PTPRN</v>
      </c>
      <c r="B13096" t="s">
        <v>7</v>
      </c>
    </row>
    <row r="13097" spans="1:2" x14ac:dyDescent="0.2">
      <c r="A13097" t="str">
        <f>"PTPRN2"</f>
        <v>PTPRN2</v>
      </c>
      <c r="B13097" t="s">
        <v>7</v>
      </c>
    </row>
    <row r="13098" spans="1:2" x14ac:dyDescent="0.2">
      <c r="A13098" t="str">
        <f>"PTPRO"</f>
        <v>PTPRO</v>
      </c>
      <c r="B13098" t="s">
        <v>7</v>
      </c>
    </row>
    <row r="13099" spans="1:2" x14ac:dyDescent="0.2">
      <c r="A13099" t="str">
        <f>"PTPRQ"</f>
        <v>PTPRQ</v>
      </c>
      <c r="B13099" t="s">
        <v>8</v>
      </c>
    </row>
    <row r="13100" spans="1:2" x14ac:dyDescent="0.2">
      <c r="A13100" t="str">
        <f>"PTPRR"</f>
        <v>PTPRR</v>
      </c>
      <c r="B13100" t="s">
        <v>7</v>
      </c>
    </row>
    <row r="13101" spans="1:2" x14ac:dyDescent="0.2">
      <c r="A13101" t="str">
        <f>"PTPRS"</f>
        <v>PTPRS</v>
      </c>
      <c r="B13101" t="s">
        <v>7</v>
      </c>
    </row>
    <row r="13102" spans="1:2" x14ac:dyDescent="0.2">
      <c r="A13102" t="str">
        <f>"PTPRT"</f>
        <v>PTPRT</v>
      </c>
      <c r="B13102" t="s">
        <v>3</v>
      </c>
    </row>
    <row r="13103" spans="1:2" x14ac:dyDescent="0.2">
      <c r="A13103" t="str">
        <f>"PTPRU"</f>
        <v>PTPRU</v>
      </c>
      <c r="B13103" t="s">
        <v>3</v>
      </c>
    </row>
    <row r="13104" spans="1:2" x14ac:dyDescent="0.2">
      <c r="A13104" t="str">
        <f>"PTPRZ1"</f>
        <v>PTPRZ1</v>
      </c>
      <c r="B13104" t="s">
        <v>7</v>
      </c>
    </row>
    <row r="13105" spans="1:2" x14ac:dyDescent="0.2">
      <c r="A13105" t="str">
        <f>"PTRF"</f>
        <v>PTRF</v>
      </c>
      <c r="B13105" t="s">
        <v>2</v>
      </c>
    </row>
    <row r="13106" spans="1:2" x14ac:dyDescent="0.2">
      <c r="A13106" t="str">
        <f>"PTRH1"</f>
        <v>PTRH1</v>
      </c>
      <c r="B13106" t="s">
        <v>6</v>
      </c>
    </row>
    <row r="13107" spans="1:2" x14ac:dyDescent="0.2">
      <c r="A13107" t="str">
        <f>"PTRH2"</f>
        <v>PTRH2</v>
      </c>
      <c r="B13107" t="s">
        <v>3</v>
      </c>
    </row>
    <row r="13108" spans="1:2" x14ac:dyDescent="0.2">
      <c r="A13108" t="str">
        <f>"PTRHD1"</f>
        <v>PTRHD1</v>
      </c>
      <c r="B13108" t="s">
        <v>8</v>
      </c>
    </row>
    <row r="13109" spans="1:2" x14ac:dyDescent="0.2">
      <c r="A13109" t="str">
        <f>"PTS"</f>
        <v>PTS</v>
      </c>
      <c r="B13109" t="s">
        <v>7</v>
      </c>
    </row>
    <row r="13110" spans="1:2" x14ac:dyDescent="0.2">
      <c r="A13110" t="str">
        <f>"PTTG1"</f>
        <v>PTTG1</v>
      </c>
      <c r="B13110" t="s">
        <v>3</v>
      </c>
    </row>
    <row r="13111" spans="1:2" x14ac:dyDescent="0.2">
      <c r="A13111" t="str">
        <f>"PTTG1IP"</f>
        <v>PTTG1IP</v>
      </c>
      <c r="B13111" t="s">
        <v>5</v>
      </c>
    </row>
    <row r="13112" spans="1:2" x14ac:dyDescent="0.2">
      <c r="A13112" t="str">
        <f>"PTTG2"</f>
        <v>PTTG2</v>
      </c>
      <c r="B13112" t="s">
        <v>4</v>
      </c>
    </row>
    <row r="13113" spans="1:2" x14ac:dyDescent="0.2">
      <c r="A13113" t="str">
        <f>"PTX3"</f>
        <v>PTX3</v>
      </c>
      <c r="B13113" t="s">
        <v>3</v>
      </c>
    </row>
    <row r="13114" spans="1:2" x14ac:dyDescent="0.2">
      <c r="A13114" t="str">
        <f>"PTX4"</f>
        <v>PTX4</v>
      </c>
      <c r="B13114" t="s">
        <v>4</v>
      </c>
    </row>
    <row r="13115" spans="1:2" x14ac:dyDescent="0.2">
      <c r="A13115" t="str">
        <f>"PUF60"</f>
        <v>PUF60</v>
      </c>
      <c r="B13115" t="s">
        <v>8</v>
      </c>
    </row>
    <row r="13116" spans="1:2" x14ac:dyDescent="0.2">
      <c r="A13116" t="str">
        <f>"PUM1"</f>
        <v>PUM1</v>
      </c>
      <c r="B13116" t="s">
        <v>8</v>
      </c>
    </row>
    <row r="13117" spans="1:2" x14ac:dyDescent="0.2">
      <c r="A13117" t="str">
        <f>"PUM2"</f>
        <v>PUM2</v>
      </c>
      <c r="B13117" t="s">
        <v>3</v>
      </c>
    </row>
    <row r="13118" spans="1:2" x14ac:dyDescent="0.2">
      <c r="A13118" t="str">
        <f>"PURA"</f>
        <v>PURA</v>
      </c>
      <c r="B13118" t="s">
        <v>7</v>
      </c>
    </row>
    <row r="13119" spans="1:2" x14ac:dyDescent="0.2">
      <c r="A13119" t="str">
        <f>"PURB"</f>
        <v>PURB</v>
      </c>
      <c r="B13119" t="s">
        <v>6</v>
      </c>
    </row>
    <row r="13120" spans="1:2" x14ac:dyDescent="0.2">
      <c r="A13120" t="str">
        <f>"PURG"</f>
        <v>PURG</v>
      </c>
      <c r="B13120" t="s">
        <v>8</v>
      </c>
    </row>
    <row r="13121" spans="1:2" x14ac:dyDescent="0.2">
      <c r="A13121" t="str">
        <f>"PUS1"</f>
        <v>PUS1</v>
      </c>
      <c r="B13121" t="s">
        <v>6</v>
      </c>
    </row>
    <row r="13122" spans="1:2" x14ac:dyDescent="0.2">
      <c r="A13122" t="str">
        <f>"PUS10"</f>
        <v>PUS10</v>
      </c>
      <c r="B13122" t="s">
        <v>4</v>
      </c>
    </row>
    <row r="13123" spans="1:2" x14ac:dyDescent="0.2">
      <c r="A13123" t="str">
        <f>"PUS3"</f>
        <v>PUS3</v>
      </c>
      <c r="B13123" t="s">
        <v>6</v>
      </c>
    </row>
    <row r="13124" spans="1:2" x14ac:dyDescent="0.2">
      <c r="A13124" t="str">
        <f>"PUS7"</f>
        <v>PUS7</v>
      </c>
      <c r="B13124" t="s">
        <v>6</v>
      </c>
    </row>
    <row r="13125" spans="1:2" x14ac:dyDescent="0.2">
      <c r="A13125" t="str">
        <f>"PUS7L"</f>
        <v>PUS7L</v>
      </c>
      <c r="B13125" t="s">
        <v>8</v>
      </c>
    </row>
    <row r="13126" spans="1:2" x14ac:dyDescent="0.2">
      <c r="A13126" t="str">
        <f>"PUSL1"</f>
        <v>PUSL1</v>
      </c>
      <c r="B13126" t="s">
        <v>8</v>
      </c>
    </row>
    <row r="13127" spans="1:2" x14ac:dyDescent="0.2">
      <c r="A13127" t="str">
        <f>"PVALB"</f>
        <v>PVALB</v>
      </c>
      <c r="B13127" t="s">
        <v>7</v>
      </c>
    </row>
    <row r="13128" spans="1:2" x14ac:dyDescent="0.2">
      <c r="A13128" t="str">
        <f>"PVR"</f>
        <v>PVR</v>
      </c>
      <c r="B13128" t="s">
        <v>7</v>
      </c>
    </row>
    <row r="13129" spans="1:2" x14ac:dyDescent="0.2">
      <c r="A13129" t="str">
        <f>"PVRIG"</f>
        <v>PVRIG</v>
      </c>
      <c r="B13129" t="s">
        <v>5</v>
      </c>
    </row>
    <row r="13130" spans="1:2" x14ac:dyDescent="0.2">
      <c r="A13130" t="str">
        <f>"PVRL1"</f>
        <v>PVRL1</v>
      </c>
      <c r="B13130" t="s">
        <v>5</v>
      </c>
    </row>
    <row r="13131" spans="1:2" x14ac:dyDescent="0.2">
      <c r="A13131" t="str">
        <f>"PVRL2"</f>
        <v>PVRL2</v>
      </c>
      <c r="B13131" t="s">
        <v>5</v>
      </c>
    </row>
    <row r="13132" spans="1:2" x14ac:dyDescent="0.2">
      <c r="A13132" t="str">
        <f>"PVRL3"</f>
        <v>PVRL3</v>
      </c>
      <c r="B13132" t="s">
        <v>6</v>
      </c>
    </row>
    <row r="13133" spans="1:2" x14ac:dyDescent="0.2">
      <c r="A13133" t="str">
        <f>"PVRL4"</f>
        <v>PVRL4</v>
      </c>
      <c r="B13133" t="s">
        <v>5</v>
      </c>
    </row>
    <row r="13134" spans="1:2" x14ac:dyDescent="0.2">
      <c r="A13134" t="str">
        <f>"PWP1"</f>
        <v>PWP1</v>
      </c>
      <c r="B13134" t="s">
        <v>8</v>
      </c>
    </row>
    <row r="13135" spans="1:2" x14ac:dyDescent="0.2">
      <c r="A13135" t="str">
        <f>"PWP2"</f>
        <v>PWP2</v>
      </c>
      <c r="B13135" t="s">
        <v>2</v>
      </c>
    </row>
    <row r="13136" spans="1:2" x14ac:dyDescent="0.2">
      <c r="A13136" t="str">
        <f>"PWWP2A"</f>
        <v>PWWP2A</v>
      </c>
      <c r="B13136" t="s">
        <v>5</v>
      </c>
    </row>
    <row r="13137" spans="1:2" x14ac:dyDescent="0.2">
      <c r="A13137" t="str">
        <f>"PWWP2B"</f>
        <v>PWWP2B</v>
      </c>
      <c r="B13137" t="s">
        <v>3</v>
      </c>
    </row>
    <row r="13138" spans="1:2" x14ac:dyDescent="0.2">
      <c r="A13138" t="str">
        <f>"PXDC1"</f>
        <v>PXDC1</v>
      </c>
      <c r="B13138" t="s">
        <v>4</v>
      </c>
    </row>
    <row r="13139" spans="1:2" x14ac:dyDescent="0.2">
      <c r="A13139" t="str">
        <f>"PXDN"</f>
        <v>PXDN</v>
      </c>
      <c r="B13139" t="s">
        <v>3</v>
      </c>
    </row>
    <row r="13140" spans="1:2" x14ac:dyDescent="0.2">
      <c r="A13140" t="str">
        <f>"PXDNL"</f>
        <v>PXDNL</v>
      </c>
      <c r="B13140" t="s">
        <v>4</v>
      </c>
    </row>
    <row r="13141" spans="1:2" x14ac:dyDescent="0.2">
      <c r="A13141" t="str">
        <f>"PXK"</f>
        <v>PXK</v>
      </c>
      <c r="B13141" t="s">
        <v>7</v>
      </c>
    </row>
    <row r="13142" spans="1:2" x14ac:dyDescent="0.2">
      <c r="A13142" t="str">
        <f>"PXMP2"</f>
        <v>PXMP2</v>
      </c>
      <c r="B13142" t="s">
        <v>6</v>
      </c>
    </row>
    <row r="13143" spans="1:2" x14ac:dyDescent="0.2">
      <c r="A13143" t="str">
        <f>"PXMP4"</f>
        <v>PXMP4</v>
      </c>
      <c r="B13143" t="s">
        <v>2</v>
      </c>
    </row>
    <row r="13144" spans="1:2" x14ac:dyDescent="0.2">
      <c r="A13144" t="str">
        <f>"PXN"</f>
        <v>PXN</v>
      </c>
      <c r="B13144" t="s">
        <v>3</v>
      </c>
    </row>
    <row r="13145" spans="1:2" x14ac:dyDescent="0.2">
      <c r="A13145" t="str">
        <f>"PXT1"</f>
        <v>PXT1</v>
      </c>
      <c r="B13145" t="s">
        <v>4</v>
      </c>
    </row>
    <row r="13146" spans="1:2" x14ac:dyDescent="0.2">
      <c r="A13146" t="str">
        <f>"PYCARD"</f>
        <v>PYCARD</v>
      </c>
      <c r="B13146" t="s">
        <v>3</v>
      </c>
    </row>
    <row r="13147" spans="1:2" x14ac:dyDescent="0.2">
      <c r="A13147" t="str">
        <f>"PYCR1"</f>
        <v>PYCR1</v>
      </c>
      <c r="B13147" t="s">
        <v>7</v>
      </c>
    </row>
    <row r="13148" spans="1:2" x14ac:dyDescent="0.2">
      <c r="A13148" t="str">
        <f>"PYCR2"</f>
        <v>PYCR2</v>
      </c>
      <c r="B13148" t="s">
        <v>7</v>
      </c>
    </row>
    <row r="13149" spans="1:2" x14ac:dyDescent="0.2">
      <c r="A13149" t="str">
        <f>"PYCRL"</f>
        <v>PYCRL</v>
      </c>
      <c r="B13149" t="s">
        <v>7</v>
      </c>
    </row>
    <row r="13150" spans="1:2" x14ac:dyDescent="0.2">
      <c r="A13150" t="str">
        <f>"PYDC1"</f>
        <v>PYDC1</v>
      </c>
      <c r="B13150" t="s">
        <v>2</v>
      </c>
    </row>
    <row r="13151" spans="1:2" x14ac:dyDescent="0.2">
      <c r="A13151" t="str">
        <f>"PYDC2"</f>
        <v>PYDC2</v>
      </c>
      <c r="B13151" t="s">
        <v>4</v>
      </c>
    </row>
    <row r="13152" spans="1:2" x14ac:dyDescent="0.2">
      <c r="A13152" t="str">
        <f>"PYGB"</f>
        <v>PYGB</v>
      </c>
      <c r="B13152" t="s">
        <v>3</v>
      </c>
    </row>
    <row r="13153" spans="1:2" x14ac:dyDescent="0.2">
      <c r="A13153" t="str">
        <f>"PYGL"</f>
        <v>PYGL</v>
      </c>
      <c r="B13153" t="s">
        <v>7</v>
      </c>
    </row>
    <row r="13154" spans="1:2" x14ac:dyDescent="0.2">
      <c r="A13154" t="str">
        <f>"PYGM"</f>
        <v>PYGM</v>
      </c>
      <c r="B13154" t="s">
        <v>7</v>
      </c>
    </row>
    <row r="13155" spans="1:2" x14ac:dyDescent="0.2">
      <c r="A13155" t="str">
        <f>"PYGO1"</f>
        <v>PYGO1</v>
      </c>
      <c r="B13155" t="s">
        <v>2</v>
      </c>
    </row>
    <row r="13156" spans="1:2" x14ac:dyDescent="0.2">
      <c r="A13156" t="str">
        <f>"PYGO2"</f>
        <v>PYGO2</v>
      </c>
      <c r="B13156" t="s">
        <v>2</v>
      </c>
    </row>
    <row r="13157" spans="1:2" x14ac:dyDescent="0.2">
      <c r="A13157" t="str">
        <f>"PYHIN1"</f>
        <v>PYHIN1</v>
      </c>
      <c r="B13157" t="s">
        <v>4</v>
      </c>
    </row>
    <row r="13158" spans="1:2" x14ac:dyDescent="0.2">
      <c r="A13158" t="str">
        <f>"PYROXD1"</f>
        <v>PYROXD1</v>
      </c>
      <c r="B13158" t="s">
        <v>4</v>
      </c>
    </row>
    <row r="13159" spans="1:2" x14ac:dyDescent="0.2">
      <c r="A13159" t="str">
        <f>"PYROXD2"</f>
        <v>PYROXD2</v>
      </c>
      <c r="B13159" t="s">
        <v>4</v>
      </c>
    </row>
    <row r="13160" spans="1:2" x14ac:dyDescent="0.2">
      <c r="A13160" t="str">
        <f>"PYURF"</f>
        <v>PYURF</v>
      </c>
      <c r="B13160" t="s">
        <v>6</v>
      </c>
    </row>
    <row r="13161" spans="1:2" x14ac:dyDescent="0.2">
      <c r="A13161" t="str">
        <f>"PYY"</f>
        <v>PYY</v>
      </c>
      <c r="B13161" t="s">
        <v>6</v>
      </c>
    </row>
    <row r="13162" spans="1:2" x14ac:dyDescent="0.2">
      <c r="A13162" t="str">
        <f>"PZP"</f>
        <v>PZP</v>
      </c>
      <c r="B13162" t="s">
        <v>3</v>
      </c>
    </row>
    <row r="13163" spans="1:2" x14ac:dyDescent="0.2">
      <c r="A13163" t="str">
        <f>"QARS"</f>
        <v>QARS</v>
      </c>
      <c r="B13163" t="s">
        <v>8</v>
      </c>
    </row>
    <row r="13164" spans="1:2" x14ac:dyDescent="0.2">
      <c r="A13164" t="str">
        <f>"QDPR"</f>
        <v>QDPR</v>
      </c>
      <c r="B13164" t="s">
        <v>7</v>
      </c>
    </row>
    <row r="13165" spans="1:2" x14ac:dyDescent="0.2">
      <c r="A13165" t="str">
        <f>"QKI"</f>
        <v>QKI</v>
      </c>
      <c r="B13165" t="s">
        <v>3</v>
      </c>
    </row>
    <row r="13166" spans="1:2" x14ac:dyDescent="0.2">
      <c r="A13166" t="str">
        <f>"QPCT"</f>
        <v>QPCT</v>
      </c>
      <c r="B13166" t="s">
        <v>7</v>
      </c>
    </row>
    <row r="13167" spans="1:2" x14ac:dyDescent="0.2">
      <c r="A13167" t="str">
        <f>"QPCTL"</f>
        <v>QPCTL</v>
      </c>
      <c r="B13167" t="s">
        <v>2</v>
      </c>
    </row>
    <row r="13168" spans="1:2" x14ac:dyDescent="0.2">
      <c r="A13168" t="str">
        <f>"QPRT"</f>
        <v>QPRT</v>
      </c>
      <c r="B13168" t="s">
        <v>7</v>
      </c>
    </row>
    <row r="13169" spans="1:2" x14ac:dyDescent="0.2">
      <c r="A13169" t="str">
        <f>"QRFP"</f>
        <v>QRFP</v>
      </c>
      <c r="B13169" t="s">
        <v>5</v>
      </c>
    </row>
    <row r="13170" spans="1:2" x14ac:dyDescent="0.2">
      <c r="A13170" t="str">
        <f>"QRFPR"</f>
        <v>QRFPR</v>
      </c>
      <c r="B13170" t="s">
        <v>5</v>
      </c>
    </row>
    <row r="13171" spans="1:2" x14ac:dyDescent="0.2">
      <c r="A13171" t="str">
        <f>"QRICH1"</f>
        <v>QRICH1</v>
      </c>
      <c r="B13171" t="s">
        <v>8</v>
      </c>
    </row>
    <row r="13172" spans="1:2" x14ac:dyDescent="0.2">
      <c r="A13172" t="str">
        <f>"QRICH2"</f>
        <v>QRICH2</v>
      </c>
      <c r="B13172" t="s">
        <v>4</v>
      </c>
    </row>
    <row r="13173" spans="1:2" x14ac:dyDescent="0.2">
      <c r="A13173" t="str">
        <f>"QRSL1"</f>
        <v>QRSL1</v>
      </c>
      <c r="B13173" t="s">
        <v>6</v>
      </c>
    </row>
    <row r="13174" spans="1:2" x14ac:dyDescent="0.2">
      <c r="A13174" t="str">
        <f>"QSER1"</f>
        <v>QSER1</v>
      </c>
      <c r="B13174" t="s">
        <v>4</v>
      </c>
    </row>
    <row r="13175" spans="1:2" x14ac:dyDescent="0.2">
      <c r="A13175" t="str">
        <f>"QSOX1"</f>
        <v>QSOX1</v>
      </c>
      <c r="B13175" t="s">
        <v>2</v>
      </c>
    </row>
    <row r="13176" spans="1:2" x14ac:dyDescent="0.2">
      <c r="A13176" t="str">
        <f>"QSOX2"</f>
        <v>QSOX2</v>
      </c>
      <c r="B13176" t="s">
        <v>5</v>
      </c>
    </row>
    <row r="13177" spans="1:2" x14ac:dyDescent="0.2">
      <c r="A13177" t="str">
        <f>"QTRT1"</f>
        <v>QTRT1</v>
      </c>
      <c r="B13177" t="s">
        <v>6</v>
      </c>
    </row>
    <row r="13178" spans="1:2" x14ac:dyDescent="0.2">
      <c r="A13178" t="str">
        <f>"QTRTD1"</f>
        <v>QTRTD1</v>
      </c>
      <c r="B13178" t="s">
        <v>6</v>
      </c>
    </row>
    <row r="13179" spans="1:2" x14ac:dyDescent="0.2">
      <c r="A13179" t="str">
        <f>"R3HCC1"</f>
        <v>R3HCC1</v>
      </c>
      <c r="B13179" t="s">
        <v>4</v>
      </c>
    </row>
    <row r="13180" spans="1:2" x14ac:dyDescent="0.2">
      <c r="A13180" t="str">
        <f>"R3HCC1L"</f>
        <v>R3HCC1L</v>
      </c>
      <c r="B13180" t="s">
        <v>4</v>
      </c>
    </row>
    <row r="13181" spans="1:2" x14ac:dyDescent="0.2">
      <c r="A13181" t="str">
        <f>"R3HDM1"</f>
        <v>R3HDM1</v>
      </c>
      <c r="B13181" t="s">
        <v>2</v>
      </c>
    </row>
    <row r="13182" spans="1:2" x14ac:dyDescent="0.2">
      <c r="A13182" t="str">
        <f>"R3HDM2"</f>
        <v>R3HDM2</v>
      </c>
      <c r="B13182" t="s">
        <v>5</v>
      </c>
    </row>
    <row r="13183" spans="1:2" x14ac:dyDescent="0.2">
      <c r="A13183" t="str">
        <f>"R3HDM4"</f>
        <v>R3HDM4</v>
      </c>
      <c r="B13183" t="s">
        <v>3</v>
      </c>
    </row>
    <row r="13184" spans="1:2" x14ac:dyDescent="0.2">
      <c r="A13184" t="str">
        <f>"R3HDML"</f>
        <v>R3HDML</v>
      </c>
      <c r="B13184" t="s">
        <v>4</v>
      </c>
    </row>
    <row r="13185" spans="1:2" x14ac:dyDescent="0.2">
      <c r="A13185" t="str">
        <f>"RAB10"</f>
        <v>RAB10</v>
      </c>
      <c r="B13185" t="s">
        <v>2</v>
      </c>
    </row>
    <row r="13186" spans="1:2" x14ac:dyDescent="0.2">
      <c r="A13186" t="str">
        <f>"RAB11A"</f>
        <v>RAB11A</v>
      </c>
      <c r="B13186" t="s">
        <v>3</v>
      </c>
    </row>
    <row r="13187" spans="1:2" x14ac:dyDescent="0.2">
      <c r="A13187" t="str">
        <f>"RAB11B"</f>
        <v>RAB11B</v>
      </c>
      <c r="B13187" t="s">
        <v>6</v>
      </c>
    </row>
    <row r="13188" spans="1:2" x14ac:dyDescent="0.2">
      <c r="A13188" t="str">
        <f>"RAB11FIP1"</f>
        <v>RAB11FIP1</v>
      </c>
      <c r="B13188" t="s">
        <v>6</v>
      </c>
    </row>
    <row r="13189" spans="1:2" x14ac:dyDescent="0.2">
      <c r="A13189" t="str">
        <f>"RAB11FIP2"</f>
        <v>RAB11FIP2</v>
      </c>
      <c r="B13189" t="s">
        <v>2</v>
      </c>
    </row>
    <row r="13190" spans="1:2" x14ac:dyDescent="0.2">
      <c r="A13190" t="str">
        <f>"RAB11FIP3"</f>
        <v>RAB11FIP3</v>
      </c>
      <c r="B13190" t="s">
        <v>6</v>
      </c>
    </row>
    <row r="13191" spans="1:2" x14ac:dyDescent="0.2">
      <c r="A13191" t="str">
        <f>"RAB11FIP4"</f>
        <v>RAB11FIP4</v>
      </c>
      <c r="B13191" t="s">
        <v>3</v>
      </c>
    </row>
    <row r="13192" spans="1:2" x14ac:dyDescent="0.2">
      <c r="A13192" t="str">
        <f>"RAB11FIP5"</f>
        <v>RAB11FIP5</v>
      </c>
      <c r="B13192" t="s">
        <v>2</v>
      </c>
    </row>
    <row r="13193" spans="1:2" x14ac:dyDescent="0.2">
      <c r="A13193" t="str">
        <f>"RAB12"</f>
        <v>RAB12</v>
      </c>
      <c r="B13193" t="s">
        <v>2</v>
      </c>
    </row>
    <row r="13194" spans="1:2" x14ac:dyDescent="0.2">
      <c r="A13194" t="str">
        <f>"RAB13"</f>
        <v>RAB13</v>
      </c>
      <c r="B13194" t="s">
        <v>6</v>
      </c>
    </row>
    <row r="13195" spans="1:2" x14ac:dyDescent="0.2">
      <c r="A13195" t="str">
        <f>"RAB14"</f>
        <v>RAB14</v>
      </c>
      <c r="B13195" t="s">
        <v>2</v>
      </c>
    </row>
    <row r="13196" spans="1:2" x14ac:dyDescent="0.2">
      <c r="A13196" t="str">
        <f>"RAB15"</f>
        <v>RAB15</v>
      </c>
      <c r="B13196" t="s">
        <v>3</v>
      </c>
    </row>
    <row r="13197" spans="1:2" x14ac:dyDescent="0.2">
      <c r="A13197" t="str">
        <f>"RAB17"</f>
        <v>RAB17</v>
      </c>
      <c r="B13197" t="s">
        <v>6</v>
      </c>
    </row>
    <row r="13198" spans="1:2" x14ac:dyDescent="0.2">
      <c r="A13198" t="str">
        <f>"RAB18"</f>
        <v>RAB18</v>
      </c>
      <c r="B13198" t="s">
        <v>2</v>
      </c>
    </row>
    <row r="13199" spans="1:2" x14ac:dyDescent="0.2">
      <c r="A13199" t="str">
        <f>"RAB19"</f>
        <v>RAB19</v>
      </c>
      <c r="B13199" t="s">
        <v>6</v>
      </c>
    </row>
    <row r="13200" spans="1:2" x14ac:dyDescent="0.2">
      <c r="A13200" t="str">
        <f>"RAB1A"</f>
        <v>RAB1A</v>
      </c>
      <c r="B13200" t="s">
        <v>2</v>
      </c>
    </row>
    <row r="13201" spans="1:2" x14ac:dyDescent="0.2">
      <c r="A13201" t="str">
        <f>"RAB1B"</f>
        <v>RAB1B</v>
      </c>
      <c r="B13201" t="s">
        <v>6</v>
      </c>
    </row>
    <row r="13202" spans="1:2" x14ac:dyDescent="0.2">
      <c r="A13202" t="str">
        <f>"RAB20"</f>
        <v>RAB20</v>
      </c>
      <c r="B13202" t="s">
        <v>6</v>
      </c>
    </row>
    <row r="13203" spans="1:2" x14ac:dyDescent="0.2">
      <c r="A13203" t="str">
        <f>"RAB21"</f>
        <v>RAB21</v>
      </c>
      <c r="B13203" t="s">
        <v>6</v>
      </c>
    </row>
    <row r="13204" spans="1:2" x14ac:dyDescent="0.2">
      <c r="A13204" t="str">
        <f>"RAB22A"</f>
        <v>RAB22A</v>
      </c>
      <c r="B13204" t="s">
        <v>6</v>
      </c>
    </row>
    <row r="13205" spans="1:2" x14ac:dyDescent="0.2">
      <c r="A13205" t="str">
        <f>"RAB23"</f>
        <v>RAB23</v>
      </c>
      <c r="B13205" t="s">
        <v>2</v>
      </c>
    </row>
    <row r="13206" spans="1:2" x14ac:dyDescent="0.2">
      <c r="A13206" t="str">
        <f>"RAB24"</f>
        <v>RAB24</v>
      </c>
      <c r="B13206" t="s">
        <v>2</v>
      </c>
    </row>
    <row r="13207" spans="1:2" x14ac:dyDescent="0.2">
      <c r="A13207" t="str">
        <f>"RAB25"</f>
        <v>RAB25</v>
      </c>
      <c r="B13207" t="s">
        <v>3</v>
      </c>
    </row>
    <row r="13208" spans="1:2" x14ac:dyDescent="0.2">
      <c r="A13208" t="str">
        <f>"RAB26"</f>
        <v>RAB26</v>
      </c>
      <c r="B13208" t="s">
        <v>6</v>
      </c>
    </row>
    <row r="13209" spans="1:2" x14ac:dyDescent="0.2">
      <c r="A13209" t="str">
        <f>"RAB27A"</f>
        <v>RAB27A</v>
      </c>
      <c r="B13209" t="s">
        <v>6</v>
      </c>
    </row>
    <row r="13210" spans="1:2" x14ac:dyDescent="0.2">
      <c r="A13210" t="str">
        <f>"RAB27B"</f>
        <v>RAB27B</v>
      </c>
      <c r="B13210" t="s">
        <v>6</v>
      </c>
    </row>
    <row r="13211" spans="1:2" x14ac:dyDescent="0.2">
      <c r="A13211" t="str">
        <f>"RAB28"</f>
        <v>RAB28</v>
      </c>
      <c r="B13211" t="s">
        <v>6</v>
      </c>
    </row>
    <row r="13212" spans="1:2" x14ac:dyDescent="0.2">
      <c r="A13212" t="str">
        <f>"RAB2A"</f>
        <v>RAB2A</v>
      </c>
      <c r="B13212" t="s">
        <v>6</v>
      </c>
    </row>
    <row r="13213" spans="1:2" x14ac:dyDescent="0.2">
      <c r="A13213" t="str">
        <f>"RAB2B"</f>
        <v>RAB2B</v>
      </c>
      <c r="B13213" t="s">
        <v>6</v>
      </c>
    </row>
    <row r="13214" spans="1:2" x14ac:dyDescent="0.2">
      <c r="A13214" t="str">
        <f>"RAB30"</f>
        <v>RAB30</v>
      </c>
      <c r="B13214" t="s">
        <v>2</v>
      </c>
    </row>
    <row r="13215" spans="1:2" x14ac:dyDescent="0.2">
      <c r="A13215" t="str">
        <f>"RAB31"</f>
        <v>RAB31</v>
      </c>
      <c r="B13215" t="s">
        <v>6</v>
      </c>
    </row>
    <row r="13216" spans="1:2" x14ac:dyDescent="0.2">
      <c r="A13216" t="str">
        <f>"RAB32"</f>
        <v>RAB32</v>
      </c>
      <c r="B13216" t="s">
        <v>2</v>
      </c>
    </row>
    <row r="13217" spans="1:2" x14ac:dyDescent="0.2">
      <c r="A13217" t="str">
        <f>"RAB33A"</f>
        <v>RAB33A</v>
      </c>
      <c r="B13217" t="s">
        <v>3</v>
      </c>
    </row>
    <row r="13218" spans="1:2" x14ac:dyDescent="0.2">
      <c r="A13218" t="str">
        <f>"RAB33B"</f>
        <v>RAB33B</v>
      </c>
      <c r="B13218" t="s">
        <v>6</v>
      </c>
    </row>
    <row r="13219" spans="1:2" x14ac:dyDescent="0.2">
      <c r="A13219" t="str">
        <f>"RAB34"</f>
        <v>RAB34</v>
      </c>
      <c r="B13219" t="s">
        <v>6</v>
      </c>
    </row>
    <row r="13220" spans="1:2" x14ac:dyDescent="0.2">
      <c r="A13220" t="str">
        <f>"RAB35"</f>
        <v>RAB35</v>
      </c>
      <c r="B13220" t="s">
        <v>2</v>
      </c>
    </row>
    <row r="13221" spans="1:2" x14ac:dyDescent="0.2">
      <c r="A13221" t="str">
        <f>"RAB36"</f>
        <v>RAB36</v>
      </c>
      <c r="B13221" t="s">
        <v>6</v>
      </c>
    </row>
    <row r="13222" spans="1:2" x14ac:dyDescent="0.2">
      <c r="A13222" t="str">
        <f>"RAB37"</f>
        <v>RAB37</v>
      </c>
      <c r="B13222" t="s">
        <v>2</v>
      </c>
    </row>
    <row r="13223" spans="1:2" x14ac:dyDescent="0.2">
      <c r="A13223" t="str">
        <f>"RAB38"</f>
        <v>RAB38</v>
      </c>
      <c r="B13223" t="s">
        <v>3</v>
      </c>
    </row>
    <row r="13224" spans="1:2" x14ac:dyDescent="0.2">
      <c r="A13224" t="str">
        <f>"RAB39A"</f>
        <v>RAB39A</v>
      </c>
      <c r="B13224" t="s">
        <v>4</v>
      </c>
    </row>
    <row r="13225" spans="1:2" x14ac:dyDescent="0.2">
      <c r="A13225" t="str">
        <f>"RAB39B"</f>
        <v>RAB39B</v>
      </c>
      <c r="B13225" t="s">
        <v>6</v>
      </c>
    </row>
    <row r="13226" spans="1:2" x14ac:dyDescent="0.2">
      <c r="A13226" t="str">
        <f>"RAB3A"</f>
        <v>RAB3A</v>
      </c>
      <c r="B13226" t="s">
        <v>6</v>
      </c>
    </row>
    <row r="13227" spans="1:2" x14ac:dyDescent="0.2">
      <c r="A13227" t="str">
        <f>"RAB3B"</f>
        <v>RAB3B</v>
      </c>
      <c r="B13227" t="s">
        <v>6</v>
      </c>
    </row>
    <row r="13228" spans="1:2" x14ac:dyDescent="0.2">
      <c r="A13228" t="str">
        <f>"RAB3C"</f>
        <v>RAB3C</v>
      </c>
      <c r="B13228" t="s">
        <v>2</v>
      </c>
    </row>
    <row r="13229" spans="1:2" x14ac:dyDescent="0.2">
      <c r="A13229" t="str">
        <f>"RAB3D"</f>
        <v>RAB3D</v>
      </c>
      <c r="B13229" t="s">
        <v>3</v>
      </c>
    </row>
    <row r="13230" spans="1:2" x14ac:dyDescent="0.2">
      <c r="A13230" t="str">
        <f>"RAB3GAP1"</f>
        <v>RAB3GAP1</v>
      </c>
      <c r="B13230" t="s">
        <v>4</v>
      </c>
    </row>
    <row r="13231" spans="1:2" x14ac:dyDescent="0.2">
      <c r="A13231" t="str">
        <f>"RAB3GAP2"</f>
        <v>RAB3GAP2</v>
      </c>
      <c r="B13231" t="s">
        <v>2</v>
      </c>
    </row>
    <row r="13232" spans="1:2" x14ac:dyDescent="0.2">
      <c r="A13232" t="str">
        <f>"RAB3IL1"</f>
        <v>RAB3IL1</v>
      </c>
      <c r="B13232" t="s">
        <v>4</v>
      </c>
    </row>
    <row r="13233" spans="1:2" x14ac:dyDescent="0.2">
      <c r="A13233" t="str">
        <f>"RAB3IP"</f>
        <v>RAB3IP</v>
      </c>
      <c r="B13233" t="s">
        <v>2</v>
      </c>
    </row>
    <row r="13234" spans="1:2" x14ac:dyDescent="0.2">
      <c r="A13234" t="str">
        <f>"RAB40A"</f>
        <v>RAB40A</v>
      </c>
      <c r="B13234" t="s">
        <v>2</v>
      </c>
    </row>
    <row r="13235" spans="1:2" x14ac:dyDescent="0.2">
      <c r="A13235" t="str">
        <f>"RAB40AL"</f>
        <v>RAB40AL</v>
      </c>
      <c r="B13235" t="s">
        <v>2</v>
      </c>
    </row>
    <row r="13236" spans="1:2" x14ac:dyDescent="0.2">
      <c r="A13236" t="str">
        <f>"RAB40B"</f>
        <v>RAB40B</v>
      </c>
      <c r="B13236" t="s">
        <v>2</v>
      </c>
    </row>
    <row r="13237" spans="1:2" x14ac:dyDescent="0.2">
      <c r="A13237" t="str">
        <f>"RAB40C"</f>
        <v>RAB40C</v>
      </c>
      <c r="B13237" t="s">
        <v>2</v>
      </c>
    </row>
    <row r="13238" spans="1:2" x14ac:dyDescent="0.2">
      <c r="A13238" t="str">
        <f>"RAB41"</f>
        <v>RAB41</v>
      </c>
      <c r="B13238" t="s">
        <v>6</v>
      </c>
    </row>
    <row r="13239" spans="1:2" x14ac:dyDescent="0.2">
      <c r="A13239" t="str">
        <f>"RAB42"</f>
        <v>RAB42</v>
      </c>
      <c r="B13239" t="s">
        <v>2</v>
      </c>
    </row>
    <row r="13240" spans="1:2" x14ac:dyDescent="0.2">
      <c r="A13240" t="str">
        <f>"RAB43"</f>
        <v>RAB43</v>
      </c>
      <c r="B13240" t="s">
        <v>2</v>
      </c>
    </row>
    <row r="13241" spans="1:2" x14ac:dyDescent="0.2">
      <c r="A13241" t="str">
        <f>"RAB44"</f>
        <v>RAB44</v>
      </c>
      <c r="B13241" t="s">
        <v>4</v>
      </c>
    </row>
    <row r="13242" spans="1:2" x14ac:dyDescent="0.2">
      <c r="A13242" t="str">
        <f>"RAB4A"</f>
        <v>RAB4A</v>
      </c>
      <c r="B13242" t="s">
        <v>6</v>
      </c>
    </row>
    <row r="13243" spans="1:2" x14ac:dyDescent="0.2">
      <c r="A13243" t="str">
        <f>"RAB4B"</f>
        <v>RAB4B</v>
      </c>
      <c r="B13243" t="s">
        <v>6</v>
      </c>
    </row>
    <row r="13244" spans="1:2" x14ac:dyDescent="0.2">
      <c r="A13244" t="str">
        <f>"RAB5A"</f>
        <v>RAB5A</v>
      </c>
      <c r="B13244" t="s">
        <v>7</v>
      </c>
    </row>
    <row r="13245" spans="1:2" x14ac:dyDescent="0.2">
      <c r="A13245" t="str">
        <f>"RAB5B"</f>
        <v>RAB5B</v>
      </c>
      <c r="B13245" t="s">
        <v>6</v>
      </c>
    </row>
    <row r="13246" spans="1:2" x14ac:dyDescent="0.2">
      <c r="A13246" t="str">
        <f>"RAB5C"</f>
        <v>RAB5C</v>
      </c>
      <c r="B13246" t="s">
        <v>6</v>
      </c>
    </row>
    <row r="13247" spans="1:2" x14ac:dyDescent="0.2">
      <c r="A13247" t="str">
        <f>"RAB6A"</f>
        <v>RAB6A</v>
      </c>
      <c r="B13247" t="s">
        <v>6</v>
      </c>
    </row>
    <row r="13248" spans="1:2" x14ac:dyDescent="0.2">
      <c r="A13248" t="str">
        <f>"RAB6B"</f>
        <v>RAB6B</v>
      </c>
      <c r="B13248" t="s">
        <v>6</v>
      </c>
    </row>
    <row r="13249" spans="1:2" x14ac:dyDescent="0.2">
      <c r="A13249" t="str">
        <f>"RAB6C"</f>
        <v>RAB6C</v>
      </c>
      <c r="B13249" t="s">
        <v>6</v>
      </c>
    </row>
    <row r="13250" spans="1:2" x14ac:dyDescent="0.2">
      <c r="A13250" t="str">
        <f>"RAB7A"</f>
        <v>RAB7A</v>
      </c>
      <c r="B13250" t="s">
        <v>7</v>
      </c>
    </row>
    <row r="13251" spans="1:2" x14ac:dyDescent="0.2">
      <c r="A13251" t="str">
        <f>"RAB7L1"</f>
        <v>RAB7L1</v>
      </c>
      <c r="B13251" t="s">
        <v>3</v>
      </c>
    </row>
    <row r="13252" spans="1:2" x14ac:dyDescent="0.2">
      <c r="A13252" t="str">
        <f>"RAB8A"</f>
        <v>RAB8A</v>
      </c>
      <c r="B13252" t="s">
        <v>3</v>
      </c>
    </row>
    <row r="13253" spans="1:2" x14ac:dyDescent="0.2">
      <c r="A13253" t="str">
        <f>"RAB8B"</f>
        <v>RAB8B</v>
      </c>
      <c r="B13253" t="s">
        <v>7</v>
      </c>
    </row>
    <row r="13254" spans="1:2" x14ac:dyDescent="0.2">
      <c r="A13254" t="str">
        <f>"RAB9A"</f>
        <v>RAB9A</v>
      </c>
      <c r="B13254" t="s">
        <v>7</v>
      </c>
    </row>
    <row r="13255" spans="1:2" x14ac:dyDescent="0.2">
      <c r="A13255" t="str">
        <f>"RAB9B"</f>
        <v>RAB9B</v>
      </c>
      <c r="B13255" t="s">
        <v>6</v>
      </c>
    </row>
    <row r="13256" spans="1:2" x14ac:dyDescent="0.2">
      <c r="A13256" t="str">
        <f>"RABAC1"</f>
        <v>RABAC1</v>
      </c>
      <c r="B13256" t="s">
        <v>2</v>
      </c>
    </row>
    <row r="13257" spans="1:2" x14ac:dyDescent="0.2">
      <c r="A13257" t="str">
        <f>"RABEP1"</f>
        <v>RABEP1</v>
      </c>
      <c r="B13257" t="s">
        <v>3</v>
      </c>
    </row>
    <row r="13258" spans="1:2" x14ac:dyDescent="0.2">
      <c r="A13258" t="str">
        <f>"RABEP2"</f>
        <v>RABEP2</v>
      </c>
      <c r="B13258" t="s">
        <v>6</v>
      </c>
    </row>
    <row r="13259" spans="1:2" x14ac:dyDescent="0.2">
      <c r="A13259" t="str">
        <f>"RABEPK"</f>
        <v>RABEPK</v>
      </c>
      <c r="B13259" t="s">
        <v>6</v>
      </c>
    </row>
    <row r="13260" spans="1:2" x14ac:dyDescent="0.2">
      <c r="A13260" t="str">
        <f>"RABGAP1"</f>
        <v>RABGAP1</v>
      </c>
      <c r="B13260" t="s">
        <v>3</v>
      </c>
    </row>
    <row r="13261" spans="1:2" x14ac:dyDescent="0.2">
      <c r="A13261" t="str">
        <f>"RABGAP1L"</f>
        <v>RABGAP1L</v>
      </c>
      <c r="B13261" t="s">
        <v>5</v>
      </c>
    </row>
    <row r="13262" spans="1:2" x14ac:dyDescent="0.2">
      <c r="A13262" t="str">
        <f>"RABGEF1"</f>
        <v>RABGEF1</v>
      </c>
      <c r="B13262" t="s">
        <v>2</v>
      </c>
    </row>
    <row r="13263" spans="1:2" x14ac:dyDescent="0.2">
      <c r="A13263" t="str">
        <f>"RABGGTA"</f>
        <v>RABGGTA</v>
      </c>
      <c r="B13263" t="s">
        <v>7</v>
      </c>
    </row>
    <row r="13264" spans="1:2" x14ac:dyDescent="0.2">
      <c r="A13264" t="str">
        <f>"RABGGTB"</f>
        <v>RABGGTB</v>
      </c>
      <c r="B13264" t="s">
        <v>7</v>
      </c>
    </row>
    <row r="13265" spans="1:2" x14ac:dyDescent="0.2">
      <c r="A13265" t="str">
        <f>"RABIF"</f>
        <v>RABIF</v>
      </c>
      <c r="B13265" t="s">
        <v>2</v>
      </c>
    </row>
    <row r="13266" spans="1:2" x14ac:dyDescent="0.2">
      <c r="A13266" t="str">
        <f>"RABL2A"</f>
        <v>RABL2A</v>
      </c>
      <c r="B13266" t="s">
        <v>6</v>
      </c>
    </row>
    <row r="13267" spans="1:2" x14ac:dyDescent="0.2">
      <c r="A13267" t="str">
        <f>"RABL2B"</f>
        <v>RABL2B</v>
      </c>
      <c r="B13267" t="s">
        <v>3</v>
      </c>
    </row>
    <row r="13268" spans="1:2" x14ac:dyDescent="0.2">
      <c r="A13268" t="str">
        <f>"RABL3"</f>
        <v>RABL3</v>
      </c>
      <c r="B13268" t="s">
        <v>2</v>
      </c>
    </row>
    <row r="13269" spans="1:2" x14ac:dyDescent="0.2">
      <c r="A13269" t="str">
        <f>"RABL5"</f>
        <v>RABL5</v>
      </c>
      <c r="B13269" t="s">
        <v>4</v>
      </c>
    </row>
    <row r="13270" spans="1:2" x14ac:dyDescent="0.2">
      <c r="A13270" t="str">
        <f>"RABL6"</f>
        <v>RABL6</v>
      </c>
      <c r="B13270" t="s">
        <v>4</v>
      </c>
    </row>
    <row r="13271" spans="1:2" x14ac:dyDescent="0.2">
      <c r="A13271" t="str">
        <f>"RAC1"</f>
        <v>RAC1</v>
      </c>
      <c r="B13271" t="s">
        <v>3</v>
      </c>
    </row>
    <row r="13272" spans="1:2" x14ac:dyDescent="0.2">
      <c r="A13272" t="str">
        <f>"RAC2"</f>
        <v>RAC2</v>
      </c>
      <c r="B13272" t="s">
        <v>3</v>
      </c>
    </row>
    <row r="13273" spans="1:2" x14ac:dyDescent="0.2">
      <c r="A13273" t="str">
        <f>"RAC3"</f>
        <v>RAC3</v>
      </c>
      <c r="B13273" t="s">
        <v>3</v>
      </c>
    </row>
    <row r="13274" spans="1:2" x14ac:dyDescent="0.2">
      <c r="A13274" t="str">
        <f>"RACGAP1"</f>
        <v>RACGAP1</v>
      </c>
      <c r="B13274" t="s">
        <v>3</v>
      </c>
    </row>
    <row r="13275" spans="1:2" x14ac:dyDescent="0.2">
      <c r="A13275" t="str">
        <f>"RAD1"</f>
        <v>RAD1</v>
      </c>
      <c r="B13275" t="s">
        <v>3</v>
      </c>
    </row>
    <row r="13276" spans="1:2" x14ac:dyDescent="0.2">
      <c r="A13276" t="str">
        <f>"RAD17"</f>
        <v>RAD17</v>
      </c>
      <c r="B13276" t="s">
        <v>3</v>
      </c>
    </row>
    <row r="13277" spans="1:2" x14ac:dyDescent="0.2">
      <c r="A13277" t="str">
        <f>"RAD18"</f>
        <v>RAD18</v>
      </c>
      <c r="B13277" t="s">
        <v>3</v>
      </c>
    </row>
    <row r="13278" spans="1:2" x14ac:dyDescent="0.2">
      <c r="A13278" t="str">
        <f>"RAD21"</f>
        <v>RAD21</v>
      </c>
      <c r="B13278" t="s">
        <v>3</v>
      </c>
    </row>
    <row r="13279" spans="1:2" x14ac:dyDescent="0.2">
      <c r="A13279" t="str">
        <f>"RAD21L1"</f>
        <v>RAD21L1</v>
      </c>
      <c r="B13279" t="s">
        <v>4</v>
      </c>
    </row>
    <row r="13280" spans="1:2" x14ac:dyDescent="0.2">
      <c r="A13280" t="str">
        <f>"RAD23A"</f>
        <v>RAD23A</v>
      </c>
      <c r="B13280" t="s">
        <v>3</v>
      </c>
    </row>
    <row r="13281" spans="1:2" x14ac:dyDescent="0.2">
      <c r="A13281" t="str">
        <f>"RAD23B"</f>
        <v>RAD23B</v>
      </c>
      <c r="B13281" t="s">
        <v>3</v>
      </c>
    </row>
    <row r="13282" spans="1:2" x14ac:dyDescent="0.2">
      <c r="A13282" t="str">
        <f>"RAD50"</f>
        <v>RAD50</v>
      </c>
      <c r="B13282" t="s">
        <v>3</v>
      </c>
    </row>
    <row r="13283" spans="1:2" x14ac:dyDescent="0.2">
      <c r="A13283" t="str">
        <f>"RAD51"</f>
        <v>RAD51</v>
      </c>
      <c r="B13283" t="s">
        <v>3</v>
      </c>
    </row>
    <row r="13284" spans="1:2" x14ac:dyDescent="0.2">
      <c r="A13284" t="str">
        <f>"RAD51AP1"</f>
        <v>RAD51AP1</v>
      </c>
      <c r="B13284" t="s">
        <v>3</v>
      </c>
    </row>
    <row r="13285" spans="1:2" x14ac:dyDescent="0.2">
      <c r="A13285" t="str">
        <f>"RAD51AP2"</f>
        <v>RAD51AP2</v>
      </c>
      <c r="B13285" t="s">
        <v>4</v>
      </c>
    </row>
    <row r="13286" spans="1:2" x14ac:dyDescent="0.2">
      <c r="A13286" t="str">
        <f>"RAD51B"</f>
        <v>RAD51B</v>
      </c>
      <c r="B13286" t="s">
        <v>3</v>
      </c>
    </row>
    <row r="13287" spans="1:2" x14ac:dyDescent="0.2">
      <c r="A13287" t="str">
        <f>"RAD51C"</f>
        <v>RAD51C</v>
      </c>
      <c r="B13287" t="s">
        <v>6</v>
      </c>
    </row>
    <row r="13288" spans="1:2" x14ac:dyDescent="0.2">
      <c r="A13288" t="str">
        <f>"RAD51D"</f>
        <v>RAD51D</v>
      </c>
      <c r="B13288" t="s">
        <v>3</v>
      </c>
    </row>
    <row r="13289" spans="1:2" x14ac:dyDescent="0.2">
      <c r="A13289" t="str">
        <f>"RAD52"</f>
        <v>RAD52</v>
      </c>
      <c r="B13289" t="s">
        <v>3</v>
      </c>
    </row>
    <row r="13290" spans="1:2" x14ac:dyDescent="0.2">
      <c r="A13290" t="str">
        <f>"RAD54B"</f>
        <v>RAD54B</v>
      </c>
      <c r="B13290" t="s">
        <v>3</v>
      </c>
    </row>
    <row r="13291" spans="1:2" x14ac:dyDescent="0.2">
      <c r="A13291" t="str">
        <f>"RAD54L"</f>
        <v>RAD54L</v>
      </c>
      <c r="B13291" t="s">
        <v>3</v>
      </c>
    </row>
    <row r="13292" spans="1:2" x14ac:dyDescent="0.2">
      <c r="A13292" t="str">
        <f>"RAD54L2"</f>
        <v>RAD54L2</v>
      </c>
      <c r="B13292" t="s">
        <v>8</v>
      </c>
    </row>
    <row r="13293" spans="1:2" x14ac:dyDescent="0.2">
      <c r="A13293" t="str">
        <f>"RAD9A"</f>
        <v>RAD9A</v>
      </c>
      <c r="B13293" t="s">
        <v>3</v>
      </c>
    </row>
    <row r="13294" spans="1:2" x14ac:dyDescent="0.2">
      <c r="A13294" t="str">
        <f>"RAD9B"</f>
        <v>RAD9B</v>
      </c>
      <c r="B13294" t="s">
        <v>3</v>
      </c>
    </row>
    <row r="13295" spans="1:2" x14ac:dyDescent="0.2">
      <c r="A13295" t="str">
        <f>"RADIL"</f>
        <v>RADIL</v>
      </c>
      <c r="B13295" t="s">
        <v>3</v>
      </c>
    </row>
    <row r="13296" spans="1:2" x14ac:dyDescent="0.2">
      <c r="A13296" t="str">
        <f>"RAE1"</f>
        <v>RAE1</v>
      </c>
      <c r="B13296" t="s">
        <v>3</v>
      </c>
    </row>
    <row r="13297" spans="1:2" x14ac:dyDescent="0.2">
      <c r="A13297" t="str">
        <f>"RAET1E"</f>
        <v>RAET1E</v>
      </c>
      <c r="B13297" t="s">
        <v>5</v>
      </c>
    </row>
    <row r="13298" spans="1:2" x14ac:dyDescent="0.2">
      <c r="A13298" t="str">
        <f>"RAET1G"</f>
        <v>RAET1G</v>
      </c>
      <c r="B13298" t="s">
        <v>5</v>
      </c>
    </row>
    <row r="13299" spans="1:2" x14ac:dyDescent="0.2">
      <c r="A13299" t="str">
        <f>"RAET1L"</f>
        <v>RAET1L</v>
      </c>
      <c r="B13299" t="s">
        <v>4</v>
      </c>
    </row>
    <row r="13300" spans="1:2" x14ac:dyDescent="0.2">
      <c r="A13300" t="str">
        <f>"RAF1"</f>
        <v>RAF1</v>
      </c>
      <c r="B13300" t="s">
        <v>7</v>
      </c>
    </row>
    <row r="13301" spans="1:2" x14ac:dyDescent="0.2">
      <c r="A13301" t="str">
        <f>"RAG1"</f>
        <v>RAG1</v>
      </c>
      <c r="B13301" t="s">
        <v>2</v>
      </c>
    </row>
    <row r="13302" spans="1:2" x14ac:dyDescent="0.2">
      <c r="A13302" t="str">
        <f>"RAG2"</f>
        <v>RAG2</v>
      </c>
      <c r="B13302" t="s">
        <v>8</v>
      </c>
    </row>
    <row r="13303" spans="1:2" x14ac:dyDescent="0.2">
      <c r="A13303" t="str">
        <f>"RAI1"</f>
        <v>RAI1</v>
      </c>
      <c r="B13303" t="s">
        <v>2</v>
      </c>
    </row>
    <row r="13304" spans="1:2" x14ac:dyDescent="0.2">
      <c r="A13304" t="str">
        <f>"RAI14"</f>
        <v>RAI14</v>
      </c>
      <c r="B13304" t="s">
        <v>6</v>
      </c>
    </row>
    <row r="13305" spans="1:2" x14ac:dyDescent="0.2">
      <c r="A13305" t="str">
        <f>"RAI2"</f>
        <v>RAI2</v>
      </c>
      <c r="B13305" t="s">
        <v>3</v>
      </c>
    </row>
    <row r="13306" spans="1:2" x14ac:dyDescent="0.2">
      <c r="A13306" t="str">
        <f>"RALA"</f>
        <v>RALA</v>
      </c>
      <c r="B13306" t="s">
        <v>7</v>
      </c>
    </row>
    <row r="13307" spans="1:2" x14ac:dyDescent="0.2">
      <c r="A13307" t="str">
        <f>"RALB"</f>
        <v>RALB</v>
      </c>
      <c r="B13307" t="s">
        <v>2</v>
      </c>
    </row>
    <row r="13308" spans="1:2" x14ac:dyDescent="0.2">
      <c r="A13308" t="str">
        <f>"RALBP1"</f>
        <v>RALBP1</v>
      </c>
      <c r="B13308" t="s">
        <v>3</v>
      </c>
    </row>
    <row r="13309" spans="1:2" x14ac:dyDescent="0.2">
      <c r="A13309" t="str">
        <f>"RALGAPA1"</f>
        <v>RALGAPA1</v>
      </c>
      <c r="B13309" t="s">
        <v>6</v>
      </c>
    </row>
    <row r="13310" spans="1:2" x14ac:dyDescent="0.2">
      <c r="A13310" t="str">
        <f>"RALGAPA2"</f>
        <v>RALGAPA2</v>
      </c>
      <c r="B13310" t="s">
        <v>5</v>
      </c>
    </row>
    <row r="13311" spans="1:2" x14ac:dyDescent="0.2">
      <c r="A13311" t="str">
        <f>"RALGAPB"</f>
        <v>RALGAPB</v>
      </c>
      <c r="B13311" t="s">
        <v>4</v>
      </c>
    </row>
    <row r="13312" spans="1:2" x14ac:dyDescent="0.2">
      <c r="A13312" t="str">
        <f>"RALGDS"</f>
        <v>RALGDS</v>
      </c>
      <c r="B13312" t="s">
        <v>3</v>
      </c>
    </row>
    <row r="13313" spans="1:2" x14ac:dyDescent="0.2">
      <c r="A13313" t="str">
        <f>"RALGPS1"</f>
        <v>RALGPS1</v>
      </c>
      <c r="B13313" t="s">
        <v>6</v>
      </c>
    </row>
    <row r="13314" spans="1:2" x14ac:dyDescent="0.2">
      <c r="A13314" t="str">
        <f>"RALGPS2"</f>
        <v>RALGPS2</v>
      </c>
      <c r="B13314" t="s">
        <v>4</v>
      </c>
    </row>
    <row r="13315" spans="1:2" x14ac:dyDescent="0.2">
      <c r="A13315" t="str">
        <f>"RALY"</f>
        <v>RALY</v>
      </c>
      <c r="B13315" t="s">
        <v>8</v>
      </c>
    </row>
    <row r="13316" spans="1:2" x14ac:dyDescent="0.2">
      <c r="A13316" t="str">
        <f>"RALYL"</f>
        <v>RALYL</v>
      </c>
      <c r="B13316" t="s">
        <v>2</v>
      </c>
    </row>
    <row r="13317" spans="1:2" x14ac:dyDescent="0.2">
      <c r="A13317" t="str">
        <f>"RAMP1"</f>
        <v>RAMP1</v>
      </c>
      <c r="B13317" t="s">
        <v>7</v>
      </c>
    </row>
    <row r="13318" spans="1:2" x14ac:dyDescent="0.2">
      <c r="A13318" t="str">
        <f>"RAMP2"</f>
        <v>RAMP2</v>
      </c>
      <c r="B13318" t="s">
        <v>7</v>
      </c>
    </row>
    <row r="13319" spans="1:2" x14ac:dyDescent="0.2">
      <c r="A13319" t="str">
        <f>"RAMP3"</f>
        <v>RAMP3</v>
      </c>
      <c r="B13319" t="s">
        <v>7</v>
      </c>
    </row>
    <row r="13320" spans="1:2" x14ac:dyDescent="0.2">
      <c r="A13320" t="str">
        <f>"RAN"</f>
        <v>RAN</v>
      </c>
      <c r="B13320" t="s">
        <v>3</v>
      </c>
    </row>
    <row r="13321" spans="1:2" x14ac:dyDescent="0.2">
      <c r="A13321" t="str">
        <f>"RANBP1"</f>
        <v>RANBP1</v>
      </c>
      <c r="B13321" t="s">
        <v>3</v>
      </c>
    </row>
    <row r="13322" spans="1:2" x14ac:dyDescent="0.2">
      <c r="A13322" t="str">
        <f>"RANBP10"</f>
        <v>RANBP10</v>
      </c>
      <c r="B13322" t="s">
        <v>2</v>
      </c>
    </row>
    <row r="13323" spans="1:2" x14ac:dyDescent="0.2">
      <c r="A13323" t="str">
        <f>"RANBP17"</f>
        <v>RANBP17</v>
      </c>
      <c r="B13323" t="s">
        <v>3</v>
      </c>
    </row>
    <row r="13324" spans="1:2" x14ac:dyDescent="0.2">
      <c r="A13324" t="str">
        <f>"RANBP2"</f>
        <v>RANBP2</v>
      </c>
      <c r="B13324" t="s">
        <v>2</v>
      </c>
    </row>
    <row r="13325" spans="1:2" x14ac:dyDescent="0.2">
      <c r="A13325" t="str">
        <f>"RANBP3"</f>
        <v>RANBP3</v>
      </c>
      <c r="B13325" t="s">
        <v>6</v>
      </c>
    </row>
    <row r="13326" spans="1:2" x14ac:dyDescent="0.2">
      <c r="A13326" t="str">
        <f>"RANBP3L"</f>
        <v>RANBP3L</v>
      </c>
      <c r="B13326" t="s">
        <v>6</v>
      </c>
    </row>
    <row r="13327" spans="1:2" x14ac:dyDescent="0.2">
      <c r="A13327" t="str">
        <f>"RANBP6"</f>
        <v>RANBP6</v>
      </c>
      <c r="B13327" t="s">
        <v>4</v>
      </c>
    </row>
    <row r="13328" spans="1:2" x14ac:dyDescent="0.2">
      <c r="A13328" t="str">
        <f>"RANBP9"</f>
        <v>RANBP9</v>
      </c>
      <c r="B13328" t="s">
        <v>3</v>
      </c>
    </row>
    <row r="13329" spans="1:2" x14ac:dyDescent="0.2">
      <c r="A13329" t="str">
        <f>"RANGAP1"</f>
        <v>RANGAP1</v>
      </c>
      <c r="B13329" t="s">
        <v>3</v>
      </c>
    </row>
    <row r="13330" spans="1:2" x14ac:dyDescent="0.2">
      <c r="A13330" t="str">
        <f>"RANGRF"</f>
        <v>RANGRF</v>
      </c>
      <c r="B13330" t="s">
        <v>6</v>
      </c>
    </row>
    <row r="13331" spans="1:2" x14ac:dyDescent="0.2">
      <c r="A13331" t="str">
        <f>"RAP1A"</f>
        <v>RAP1A</v>
      </c>
      <c r="B13331" t="s">
        <v>3</v>
      </c>
    </row>
    <row r="13332" spans="1:2" x14ac:dyDescent="0.2">
      <c r="A13332" t="str">
        <f>"RAP1B"</f>
        <v>RAP1B</v>
      </c>
      <c r="B13332" t="s">
        <v>6</v>
      </c>
    </row>
    <row r="13333" spans="1:2" x14ac:dyDescent="0.2">
      <c r="A13333" t="str">
        <f>"RAP1GAP"</f>
        <v>RAP1GAP</v>
      </c>
      <c r="B13333" t="s">
        <v>6</v>
      </c>
    </row>
    <row r="13334" spans="1:2" x14ac:dyDescent="0.2">
      <c r="A13334" t="str">
        <f>"RAP1GAP2"</f>
        <v>RAP1GAP2</v>
      </c>
      <c r="B13334" t="s">
        <v>6</v>
      </c>
    </row>
    <row r="13335" spans="1:2" x14ac:dyDescent="0.2">
      <c r="A13335" t="str">
        <f>"RAP1GDS1"</f>
        <v>RAP1GDS1</v>
      </c>
      <c r="B13335" t="s">
        <v>3</v>
      </c>
    </row>
    <row r="13336" spans="1:2" x14ac:dyDescent="0.2">
      <c r="A13336" t="str">
        <f>"RAP2A"</f>
        <v>RAP2A</v>
      </c>
      <c r="B13336" t="s">
        <v>3</v>
      </c>
    </row>
    <row r="13337" spans="1:2" x14ac:dyDescent="0.2">
      <c r="A13337" t="str">
        <f>"RAP2B"</f>
        <v>RAP2B</v>
      </c>
      <c r="B13337" t="s">
        <v>6</v>
      </c>
    </row>
    <row r="13338" spans="1:2" x14ac:dyDescent="0.2">
      <c r="A13338" t="str">
        <f>"RAP2C"</f>
        <v>RAP2C</v>
      </c>
      <c r="B13338" t="s">
        <v>4</v>
      </c>
    </row>
    <row r="13339" spans="1:2" x14ac:dyDescent="0.2">
      <c r="A13339" t="str">
        <f>"RAPGEF1"</f>
        <v>RAPGEF1</v>
      </c>
      <c r="B13339" t="s">
        <v>6</v>
      </c>
    </row>
    <row r="13340" spans="1:2" x14ac:dyDescent="0.2">
      <c r="A13340" t="str">
        <f>"RAPGEF2"</f>
        <v>RAPGEF2</v>
      </c>
      <c r="B13340" t="s">
        <v>6</v>
      </c>
    </row>
    <row r="13341" spans="1:2" x14ac:dyDescent="0.2">
      <c r="A13341" t="str">
        <f>"RAPGEF3"</f>
        <v>RAPGEF3</v>
      </c>
      <c r="B13341" t="s">
        <v>8</v>
      </c>
    </row>
    <row r="13342" spans="1:2" x14ac:dyDescent="0.2">
      <c r="A13342" t="str">
        <f>"RAPGEF4"</f>
        <v>RAPGEF4</v>
      </c>
      <c r="B13342" t="s">
        <v>2</v>
      </c>
    </row>
    <row r="13343" spans="1:2" x14ac:dyDescent="0.2">
      <c r="A13343" t="str">
        <f>"RAPGEF5"</f>
        <v>RAPGEF5</v>
      </c>
      <c r="B13343" t="s">
        <v>8</v>
      </c>
    </row>
    <row r="13344" spans="1:2" x14ac:dyDescent="0.2">
      <c r="A13344" t="str">
        <f>"RAPGEF6"</f>
        <v>RAPGEF6</v>
      </c>
      <c r="B13344" t="s">
        <v>8</v>
      </c>
    </row>
    <row r="13345" spans="1:2" x14ac:dyDescent="0.2">
      <c r="A13345" t="str">
        <f>"RAPGEFL1"</f>
        <v>RAPGEFL1</v>
      </c>
      <c r="B13345" t="s">
        <v>6</v>
      </c>
    </row>
    <row r="13346" spans="1:2" x14ac:dyDescent="0.2">
      <c r="A13346" t="str">
        <f>"RAPH1"</f>
        <v>RAPH1</v>
      </c>
      <c r="B13346" t="s">
        <v>6</v>
      </c>
    </row>
    <row r="13347" spans="1:2" x14ac:dyDescent="0.2">
      <c r="A13347" t="str">
        <f>"RAPSN"</f>
        <v>RAPSN</v>
      </c>
      <c r="B13347" t="s">
        <v>2</v>
      </c>
    </row>
    <row r="13348" spans="1:2" x14ac:dyDescent="0.2">
      <c r="A13348" t="str">
        <f>"RARA"</f>
        <v>RARA</v>
      </c>
      <c r="B13348" t="s">
        <v>3</v>
      </c>
    </row>
    <row r="13349" spans="1:2" x14ac:dyDescent="0.2">
      <c r="A13349" t="str">
        <f>"RARB"</f>
        <v>RARB</v>
      </c>
      <c r="B13349" t="s">
        <v>3</v>
      </c>
    </row>
    <row r="13350" spans="1:2" x14ac:dyDescent="0.2">
      <c r="A13350" t="str">
        <f>"RARG"</f>
        <v>RARG</v>
      </c>
      <c r="B13350" t="s">
        <v>7</v>
      </c>
    </row>
    <row r="13351" spans="1:2" x14ac:dyDescent="0.2">
      <c r="A13351" t="str">
        <f>"RARRES1"</f>
        <v>RARRES1</v>
      </c>
      <c r="B13351" t="s">
        <v>7</v>
      </c>
    </row>
    <row r="13352" spans="1:2" x14ac:dyDescent="0.2">
      <c r="A13352" t="str">
        <f>"RARRES2"</f>
        <v>RARRES2</v>
      </c>
      <c r="B13352" t="s">
        <v>6</v>
      </c>
    </row>
    <row r="13353" spans="1:2" x14ac:dyDescent="0.2">
      <c r="A13353" t="str">
        <f>"RARRES3"</f>
        <v>RARRES3</v>
      </c>
      <c r="B13353" t="s">
        <v>5</v>
      </c>
    </row>
    <row r="13354" spans="1:2" x14ac:dyDescent="0.2">
      <c r="A13354" t="str">
        <f>"RARS"</f>
        <v>RARS</v>
      </c>
      <c r="B13354" t="s">
        <v>6</v>
      </c>
    </row>
    <row r="13355" spans="1:2" x14ac:dyDescent="0.2">
      <c r="A13355" t="str">
        <f>"RARS2"</f>
        <v>RARS2</v>
      </c>
      <c r="B13355" t="s">
        <v>6</v>
      </c>
    </row>
    <row r="13356" spans="1:2" x14ac:dyDescent="0.2">
      <c r="A13356" t="str">
        <f>"RASA1"</f>
        <v>RASA1</v>
      </c>
      <c r="B13356" t="s">
        <v>3</v>
      </c>
    </row>
    <row r="13357" spans="1:2" x14ac:dyDescent="0.2">
      <c r="A13357" t="str">
        <f>"RASA2"</f>
        <v>RASA2</v>
      </c>
      <c r="B13357" t="s">
        <v>6</v>
      </c>
    </row>
    <row r="13358" spans="1:2" x14ac:dyDescent="0.2">
      <c r="A13358" t="str">
        <f>"RASA3"</f>
        <v>RASA3</v>
      </c>
      <c r="B13358" t="s">
        <v>3</v>
      </c>
    </row>
    <row r="13359" spans="1:2" x14ac:dyDescent="0.2">
      <c r="A13359" t="str">
        <f>"RASA4"</f>
        <v>RASA4</v>
      </c>
      <c r="B13359" t="s">
        <v>2</v>
      </c>
    </row>
    <row r="13360" spans="1:2" x14ac:dyDescent="0.2">
      <c r="A13360" t="str">
        <f>"RASA4B"</f>
        <v>RASA4B</v>
      </c>
      <c r="B13360" t="s">
        <v>4</v>
      </c>
    </row>
    <row r="13361" spans="1:2" x14ac:dyDescent="0.2">
      <c r="A13361" t="str">
        <f>"RASAL1"</f>
        <v>RASAL1</v>
      </c>
      <c r="B13361" t="s">
        <v>4</v>
      </c>
    </row>
    <row r="13362" spans="1:2" x14ac:dyDescent="0.2">
      <c r="A13362" t="str">
        <f>"RASAL2"</f>
        <v>RASAL2</v>
      </c>
      <c r="B13362" t="s">
        <v>6</v>
      </c>
    </row>
    <row r="13363" spans="1:2" x14ac:dyDescent="0.2">
      <c r="A13363" t="str">
        <f>"RASAL3"</f>
        <v>RASAL3</v>
      </c>
      <c r="B13363" t="s">
        <v>4</v>
      </c>
    </row>
    <row r="13364" spans="1:2" x14ac:dyDescent="0.2">
      <c r="A13364" t="str">
        <f>"RASD1"</f>
        <v>RASD1</v>
      </c>
      <c r="B13364" t="s">
        <v>3</v>
      </c>
    </row>
    <row r="13365" spans="1:2" x14ac:dyDescent="0.2">
      <c r="A13365" t="str">
        <f>"RASD2"</f>
        <v>RASD2</v>
      </c>
      <c r="B13365" t="s">
        <v>6</v>
      </c>
    </row>
    <row r="13366" spans="1:2" x14ac:dyDescent="0.2">
      <c r="A13366" t="str">
        <f>"RASEF"</f>
        <v>RASEF</v>
      </c>
      <c r="B13366" t="s">
        <v>6</v>
      </c>
    </row>
    <row r="13367" spans="1:2" x14ac:dyDescent="0.2">
      <c r="A13367" t="str">
        <f>"RASGEF1A"</f>
        <v>RASGEF1A</v>
      </c>
      <c r="B13367" t="s">
        <v>4</v>
      </c>
    </row>
    <row r="13368" spans="1:2" x14ac:dyDescent="0.2">
      <c r="A13368" t="str">
        <f>"RASGEF1B"</f>
        <v>RASGEF1B</v>
      </c>
      <c r="B13368" t="s">
        <v>4</v>
      </c>
    </row>
    <row r="13369" spans="1:2" x14ac:dyDescent="0.2">
      <c r="A13369" t="str">
        <f>"RASGEF1C"</f>
        <v>RASGEF1C</v>
      </c>
      <c r="B13369" t="s">
        <v>4</v>
      </c>
    </row>
    <row r="13370" spans="1:2" x14ac:dyDescent="0.2">
      <c r="A13370" t="str">
        <f>"RASGRF1"</f>
        <v>RASGRF1</v>
      </c>
      <c r="B13370" t="s">
        <v>3</v>
      </c>
    </row>
    <row r="13371" spans="1:2" x14ac:dyDescent="0.2">
      <c r="A13371" t="str">
        <f>"RASGRF2"</f>
        <v>RASGRF2</v>
      </c>
      <c r="B13371" t="s">
        <v>3</v>
      </c>
    </row>
    <row r="13372" spans="1:2" x14ac:dyDescent="0.2">
      <c r="A13372" t="str">
        <f>"RASGRP1"</f>
        <v>RASGRP1</v>
      </c>
      <c r="B13372" t="s">
        <v>3</v>
      </c>
    </row>
    <row r="13373" spans="1:2" x14ac:dyDescent="0.2">
      <c r="A13373" t="str">
        <f>"RASGRP2"</f>
        <v>RASGRP2</v>
      </c>
      <c r="B13373" t="s">
        <v>6</v>
      </c>
    </row>
    <row r="13374" spans="1:2" x14ac:dyDescent="0.2">
      <c r="A13374" t="str">
        <f>"RASGRP3"</f>
        <v>RASGRP3</v>
      </c>
      <c r="B13374" t="s">
        <v>6</v>
      </c>
    </row>
    <row r="13375" spans="1:2" x14ac:dyDescent="0.2">
      <c r="A13375" t="str">
        <f>"RASGRP4"</f>
        <v>RASGRP4</v>
      </c>
      <c r="B13375" t="s">
        <v>3</v>
      </c>
    </row>
    <row r="13376" spans="1:2" x14ac:dyDescent="0.2">
      <c r="A13376" t="str">
        <f>"RASIP1"</f>
        <v>RASIP1</v>
      </c>
      <c r="B13376" t="s">
        <v>4</v>
      </c>
    </row>
    <row r="13377" spans="1:2" x14ac:dyDescent="0.2">
      <c r="A13377" t="str">
        <f>"RASL10A"</f>
        <v>RASL10A</v>
      </c>
      <c r="B13377" t="s">
        <v>6</v>
      </c>
    </row>
    <row r="13378" spans="1:2" x14ac:dyDescent="0.2">
      <c r="A13378" t="str">
        <f>"RASL10B"</f>
        <v>RASL10B</v>
      </c>
      <c r="B13378" t="s">
        <v>4</v>
      </c>
    </row>
    <row r="13379" spans="1:2" x14ac:dyDescent="0.2">
      <c r="A13379" t="str">
        <f>"RASL11A"</f>
        <v>RASL11A</v>
      </c>
      <c r="B13379" t="s">
        <v>4</v>
      </c>
    </row>
    <row r="13380" spans="1:2" x14ac:dyDescent="0.2">
      <c r="A13380" t="str">
        <f>"RASL11B"</f>
        <v>RASL11B</v>
      </c>
      <c r="B13380" t="s">
        <v>6</v>
      </c>
    </row>
    <row r="13381" spans="1:2" x14ac:dyDescent="0.2">
      <c r="A13381" t="str">
        <f>"RASL12"</f>
        <v>RASL12</v>
      </c>
      <c r="B13381" t="s">
        <v>6</v>
      </c>
    </row>
    <row r="13382" spans="1:2" x14ac:dyDescent="0.2">
      <c r="A13382" t="str">
        <f>"RASSF1"</f>
        <v>RASSF1</v>
      </c>
      <c r="B13382" t="s">
        <v>3</v>
      </c>
    </row>
    <row r="13383" spans="1:2" x14ac:dyDescent="0.2">
      <c r="A13383" t="str">
        <f>"RASSF2"</f>
        <v>RASSF2</v>
      </c>
      <c r="B13383" t="s">
        <v>3</v>
      </c>
    </row>
    <row r="13384" spans="1:2" x14ac:dyDescent="0.2">
      <c r="A13384" t="str">
        <f>"RASSF3"</f>
        <v>RASSF3</v>
      </c>
      <c r="B13384" t="s">
        <v>4</v>
      </c>
    </row>
    <row r="13385" spans="1:2" x14ac:dyDescent="0.2">
      <c r="A13385" t="str">
        <f>"RASSF4"</f>
        <v>RASSF4</v>
      </c>
      <c r="B13385" t="s">
        <v>3</v>
      </c>
    </row>
    <row r="13386" spans="1:2" x14ac:dyDescent="0.2">
      <c r="A13386" t="str">
        <f>"RASSF5"</f>
        <v>RASSF5</v>
      </c>
      <c r="B13386" t="s">
        <v>3</v>
      </c>
    </row>
    <row r="13387" spans="1:2" x14ac:dyDescent="0.2">
      <c r="A13387" t="str">
        <f>"RASSF6"</f>
        <v>RASSF6</v>
      </c>
      <c r="B13387" t="s">
        <v>4</v>
      </c>
    </row>
    <row r="13388" spans="1:2" x14ac:dyDescent="0.2">
      <c r="A13388" t="str">
        <f>"RASSF7"</f>
        <v>RASSF7</v>
      </c>
      <c r="B13388" t="s">
        <v>8</v>
      </c>
    </row>
    <row r="13389" spans="1:2" x14ac:dyDescent="0.2">
      <c r="A13389" t="str">
        <f>"RASSF8"</f>
        <v>RASSF8</v>
      </c>
      <c r="B13389" t="s">
        <v>4</v>
      </c>
    </row>
    <row r="13390" spans="1:2" x14ac:dyDescent="0.2">
      <c r="A13390" t="str">
        <f>"RASSF9"</f>
        <v>RASSF9</v>
      </c>
      <c r="B13390" t="s">
        <v>6</v>
      </c>
    </row>
    <row r="13391" spans="1:2" x14ac:dyDescent="0.2">
      <c r="A13391" t="str">
        <f>"RAVER1"</f>
        <v>RAVER1</v>
      </c>
      <c r="B13391" t="s">
        <v>8</v>
      </c>
    </row>
    <row r="13392" spans="1:2" x14ac:dyDescent="0.2">
      <c r="A13392" t="str">
        <f>"RAVER2"</f>
        <v>RAVER2</v>
      </c>
      <c r="B13392" t="s">
        <v>8</v>
      </c>
    </row>
    <row r="13393" spans="1:2" x14ac:dyDescent="0.2">
      <c r="A13393" t="str">
        <f>"RAX"</f>
        <v>RAX</v>
      </c>
      <c r="B13393" t="s">
        <v>8</v>
      </c>
    </row>
    <row r="13394" spans="1:2" x14ac:dyDescent="0.2">
      <c r="A13394" t="str">
        <f>"RAX2"</f>
        <v>RAX2</v>
      </c>
      <c r="B13394" t="s">
        <v>8</v>
      </c>
    </row>
    <row r="13395" spans="1:2" x14ac:dyDescent="0.2">
      <c r="A13395" t="str">
        <f>"RB1"</f>
        <v>RB1</v>
      </c>
      <c r="B13395" t="s">
        <v>3</v>
      </c>
    </row>
    <row r="13396" spans="1:2" x14ac:dyDescent="0.2">
      <c r="A13396" t="str">
        <f>"RB1CC1"</f>
        <v>RB1CC1</v>
      </c>
      <c r="B13396" t="s">
        <v>3</v>
      </c>
    </row>
    <row r="13397" spans="1:2" x14ac:dyDescent="0.2">
      <c r="A13397" t="str">
        <f>"RBAK"</f>
        <v>RBAK</v>
      </c>
      <c r="B13397" t="s">
        <v>8</v>
      </c>
    </row>
    <row r="13398" spans="1:2" x14ac:dyDescent="0.2">
      <c r="A13398" t="str">
        <f>"RBAK-RBAKDN"</f>
        <v>RBAK-RBAKDN</v>
      </c>
      <c r="B13398" t="s">
        <v>4</v>
      </c>
    </row>
    <row r="13399" spans="1:2" x14ac:dyDescent="0.2">
      <c r="A13399" t="str">
        <f>"RBBP4"</f>
        <v>RBBP4</v>
      </c>
      <c r="B13399" t="s">
        <v>3</v>
      </c>
    </row>
    <row r="13400" spans="1:2" x14ac:dyDescent="0.2">
      <c r="A13400" t="str">
        <f>"RBBP5"</f>
        <v>RBBP5</v>
      </c>
      <c r="B13400" t="s">
        <v>8</v>
      </c>
    </row>
    <row r="13401" spans="1:2" x14ac:dyDescent="0.2">
      <c r="A13401" t="str">
        <f>"RBBP6"</f>
        <v>RBBP6</v>
      </c>
      <c r="B13401" t="s">
        <v>2</v>
      </c>
    </row>
    <row r="13402" spans="1:2" x14ac:dyDescent="0.2">
      <c r="A13402" t="str">
        <f>"RBBP7"</f>
        <v>RBBP7</v>
      </c>
      <c r="B13402" t="s">
        <v>6</v>
      </c>
    </row>
    <row r="13403" spans="1:2" x14ac:dyDescent="0.2">
      <c r="A13403" t="str">
        <f>"RBBP8"</f>
        <v>RBBP8</v>
      </c>
      <c r="B13403" t="s">
        <v>3</v>
      </c>
    </row>
    <row r="13404" spans="1:2" x14ac:dyDescent="0.2">
      <c r="A13404" t="str">
        <f>"RBBP8NL"</f>
        <v>RBBP8NL</v>
      </c>
      <c r="B13404" t="s">
        <v>4</v>
      </c>
    </row>
    <row r="13405" spans="1:2" x14ac:dyDescent="0.2">
      <c r="A13405" t="str">
        <f>"RBBP9"</f>
        <v>RBBP9</v>
      </c>
      <c r="B13405" t="s">
        <v>3</v>
      </c>
    </row>
    <row r="13406" spans="1:2" x14ac:dyDescent="0.2">
      <c r="A13406" t="str">
        <f>"RBCK1"</f>
        <v>RBCK1</v>
      </c>
      <c r="B13406" t="s">
        <v>2</v>
      </c>
    </row>
    <row r="13407" spans="1:2" x14ac:dyDescent="0.2">
      <c r="A13407" t="str">
        <f>"RBFA"</f>
        <v>RBFA</v>
      </c>
      <c r="B13407" t="s">
        <v>6</v>
      </c>
    </row>
    <row r="13408" spans="1:2" x14ac:dyDescent="0.2">
      <c r="A13408" t="str">
        <f>"RBFOX1"</f>
        <v>RBFOX1</v>
      </c>
      <c r="B13408" t="s">
        <v>8</v>
      </c>
    </row>
    <row r="13409" spans="1:2" x14ac:dyDescent="0.2">
      <c r="A13409" t="str">
        <f>"RBFOX2"</f>
        <v>RBFOX2</v>
      </c>
      <c r="B13409" t="s">
        <v>8</v>
      </c>
    </row>
    <row r="13410" spans="1:2" x14ac:dyDescent="0.2">
      <c r="A13410" t="str">
        <f>"RBFOX3"</f>
        <v>RBFOX3</v>
      </c>
      <c r="B13410" t="s">
        <v>4</v>
      </c>
    </row>
    <row r="13411" spans="1:2" x14ac:dyDescent="0.2">
      <c r="A13411" t="str">
        <f>"RBKS"</f>
        <v>RBKS</v>
      </c>
      <c r="B13411" t="s">
        <v>7</v>
      </c>
    </row>
    <row r="13412" spans="1:2" x14ac:dyDescent="0.2">
      <c r="A13412" t="str">
        <f>"RBL1"</f>
        <v>RBL1</v>
      </c>
      <c r="B13412" t="s">
        <v>3</v>
      </c>
    </row>
    <row r="13413" spans="1:2" x14ac:dyDescent="0.2">
      <c r="A13413" t="str">
        <f>"RBL2"</f>
        <v>RBL2</v>
      </c>
      <c r="B13413" t="s">
        <v>3</v>
      </c>
    </row>
    <row r="13414" spans="1:2" x14ac:dyDescent="0.2">
      <c r="A13414" t="str">
        <f>"RBM10"</f>
        <v>RBM10</v>
      </c>
      <c r="B13414" t="s">
        <v>8</v>
      </c>
    </row>
    <row r="13415" spans="1:2" x14ac:dyDescent="0.2">
      <c r="A13415" t="str">
        <f>"RBM11"</f>
        <v>RBM11</v>
      </c>
      <c r="B13415" t="s">
        <v>8</v>
      </c>
    </row>
    <row r="13416" spans="1:2" x14ac:dyDescent="0.2">
      <c r="A13416" t="str">
        <f>"RBM12"</f>
        <v>RBM12</v>
      </c>
      <c r="B13416" t="s">
        <v>8</v>
      </c>
    </row>
    <row r="13417" spans="1:2" x14ac:dyDescent="0.2">
      <c r="A13417" t="str">
        <f>"RBM12B"</f>
        <v>RBM12B</v>
      </c>
      <c r="B13417" t="s">
        <v>8</v>
      </c>
    </row>
    <row r="13418" spans="1:2" x14ac:dyDescent="0.2">
      <c r="A13418" t="str">
        <f>"RBM14"</f>
        <v>RBM14</v>
      </c>
      <c r="B13418" t="s">
        <v>8</v>
      </c>
    </row>
    <row r="13419" spans="1:2" x14ac:dyDescent="0.2">
      <c r="A13419" t="str">
        <f>"RBM14-RBM4"</f>
        <v>RBM14-RBM4</v>
      </c>
      <c r="B13419" t="s">
        <v>4</v>
      </c>
    </row>
    <row r="13420" spans="1:2" x14ac:dyDescent="0.2">
      <c r="A13420" t="str">
        <f>"RBM15"</f>
        <v>RBM15</v>
      </c>
      <c r="B13420" t="s">
        <v>3</v>
      </c>
    </row>
    <row r="13421" spans="1:2" x14ac:dyDescent="0.2">
      <c r="A13421" t="str">
        <f>"RBM15B"</f>
        <v>RBM15B</v>
      </c>
      <c r="B13421" t="s">
        <v>8</v>
      </c>
    </row>
    <row r="13422" spans="1:2" x14ac:dyDescent="0.2">
      <c r="A13422" t="str">
        <f>"RBM17"</f>
        <v>RBM17</v>
      </c>
      <c r="B13422" t="s">
        <v>8</v>
      </c>
    </row>
    <row r="13423" spans="1:2" x14ac:dyDescent="0.2">
      <c r="A13423" t="str">
        <f>"RBM18"</f>
        <v>RBM18</v>
      </c>
      <c r="B13423" t="s">
        <v>8</v>
      </c>
    </row>
    <row r="13424" spans="1:2" x14ac:dyDescent="0.2">
      <c r="A13424" t="str">
        <f>"RBM19"</f>
        <v>RBM19</v>
      </c>
      <c r="B13424" t="s">
        <v>8</v>
      </c>
    </row>
    <row r="13425" spans="1:2" x14ac:dyDescent="0.2">
      <c r="A13425" t="str">
        <f>"RBM20"</f>
        <v>RBM20</v>
      </c>
      <c r="B13425" t="s">
        <v>8</v>
      </c>
    </row>
    <row r="13426" spans="1:2" x14ac:dyDescent="0.2">
      <c r="A13426" t="str">
        <f>"RBM22"</f>
        <v>RBM22</v>
      </c>
      <c r="B13426" t="s">
        <v>8</v>
      </c>
    </row>
    <row r="13427" spans="1:2" x14ac:dyDescent="0.2">
      <c r="A13427" t="str">
        <f>"RBM23"</f>
        <v>RBM23</v>
      </c>
      <c r="B13427" t="s">
        <v>8</v>
      </c>
    </row>
    <row r="13428" spans="1:2" x14ac:dyDescent="0.2">
      <c r="A13428" t="str">
        <f>"RBM24"</f>
        <v>RBM24</v>
      </c>
      <c r="B13428" t="s">
        <v>2</v>
      </c>
    </row>
    <row r="13429" spans="1:2" x14ac:dyDescent="0.2">
      <c r="A13429" t="str">
        <f>"RBM25"</f>
        <v>RBM25</v>
      </c>
      <c r="B13429" t="s">
        <v>3</v>
      </c>
    </row>
    <row r="13430" spans="1:2" x14ac:dyDescent="0.2">
      <c r="A13430" t="str">
        <f>"RBM26"</f>
        <v>RBM26</v>
      </c>
      <c r="B13430" t="s">
        <v>8</v>
      </c>
    </row>
    <row r="13431" spans="1:2" x14ac:dyDescent="0.2">
      <c r="A13431" t="str">
        <f>"RBM27"</f>
        <v>RBM27</v>
      </c>
      <c r="B13431" t="s">
        <v>8</v>
      </c>
    </row>
    <row r="13432" spans="1:2" x14ac:dyDescent="0.2">
      <c r="A13432" t="str">
        <f>"RBM28"</f>
        <v>RBM28</v>
      </c>
      <c r="B13432" t="s">
        <v>8</v>
      </c>
    </row>
    <row r="13433" spans="1:2" x14ac:dyDescent="0.2">
      <c r="A13433" t="str">
        <f>"RBM3"</f>
        <v>RBM3</v>
      </c>
      <c r="B13433" t="s">
        <v>8</v>
      </c>
    </row>
    <row r="13434" spans="1:2" x14ac:dyDescent="0.2">
      <c r="A13434" t="str">
        <f>"RBM33"</f>
        <v>RBM33</v>
      </c>
      <c r="B13434" t="s">
        <v>4</v>
      </c>
    </row>
    <row r="13435" spans="1:2" x14ac:dyDescent="0.2">
      <c r="A13435" t="str">
        <f>"RBM34"</f>
        <v>RBM34</v>
      </c>
      <c r="B13435" t="s">
        <v>2</v>
      </c>
    </row>
    <row r="13436" spans="1:2" x14ac:dyDescent="0.2">
      <c r="A13436" t="str">
        <f>"RBM38"</f>
        <v>RBM38</v>
      </c>
      <c r="B13436" t="s">
        <v>8</v>
      </c>
    </row>
    <row r="13437" spans="1:2" x14ac:dyDescent="0.2">
      <c r="A13437" t="str">
        <f>"RBM39"</f>
        <v>RBM39</v>
      </c>
      <c r="B13437" t="s">
        <v>3</v>
      </c>
    </row>
    <row r="13438" spans="1:2" x14ac:dyDescent="0.2">
      <c r="A13438" t="str">
        <f>"RBM4"</f>
        <v>RBM4</v>
      </c>
      <c r="B13438" t="s">
        <v>8</v>
      </c>
    </row>
    <row r="13439" spans="1:2" x14ac:dyDescent="0.2">
      <c r="A13439" t="str">
        <f>"RBM41"</f>
        <v>RBM41</v>
      </c>
      <c r="B13439" t="s">
        <v>8</v>
      </c>
    </row>
    <row r="13440" spans="1:2" x14ac:dyDescent="0.2">
      <c r="A13440" t="str">
        <f>"RBM42"</f>
        <v>RBM42</v>
      </c>
      <c r="B13440" t="s">
        <v>8</v>
      </c>
    </row>
    <row r="13441" spans="1:2" x14ac:dyDescent="0.2">
      <c r="A13441" t="str">
        <f>"RBM43"</f>
        <v>RBM43</v>
      </c>
      <c r="B13441" t="s">
        <v>8</v>
      </c>
    </row>
    <row r="13442" spans="1:2" x14ac:dyDescent="0.2">
      <c r="A13442" t="str">
        <f>"RBM44"</f>
        <v>RBM44</v>
      </c>
      <c r="B13442" t="s">
        <v>8</v>
      </c>
    </row>
    <row r="13443" spans="1:2" x14ac:dyDescent="0.2">
      <c r="A13443" t="str">
        <f>"RBM45"</f>
        <v>RBM45</v>
      </c>
      <c r="B13443" t="s">
        <v>8</v>
      </c>
    </row>
    <row r="13444" spans="1:2" x14ac:dyDescent="0.2">
      <c r="A13444" t="str">
        <f>"RBM46"</f>
        <v>RBM46</v>
      </c>
      <c r="B13444" t="s">
        <v>8</v>
      </c>
    </row>
    <row r="13445" spans="1:2" x14ac:dyDescent="0.2">
      <c r="A13445" t="str">
        <f>"RBM47"</f>
        <v>RBM47</v>
      </c>
      <c r="B13445" t="s">
        <v>8</v>
      </c>
    </row>
    <row r="13446" spans="1:2" x14ac:dyDescent="0.2">
      <c r="A13446" t="str">
        <f>"RBM48"</f>
        <v>RBM48</v>
      </c>
      <c r="B13446" t="s">
        <v>8</v>
      </c>
    </row>
    <row r="13447" spans="1:2" x14ac:dyDescent="0.2">
      <c r="A13447" t="str">
        <f>"RBM4B"</f>
        <v>RBM4B</v>
      </c>
      <c r="B13447" t="s">
        <v>8</v>
      </c>
    </row>
    <row r="13448" spans="1:2" x14ac:dyDescent="0.2">
      <c r="A13448" t="str">
        <f>"RBM5"</f>
        <v>RBM5</v>
      </c>
      <c r="B13448" t="s">
        <v>3</v>
      </c>
    </row>
    <row r="13449" spans="1:2" x14ac:dyDescent="0.2">
      <c r="A13449" t="str">
        <f>"RBM6"</f>
        <v>RBM6</v>
      </c>
      <c r="B13449" t="s">
        <v>8</v>
      </c>
    </row>
    <row r="13450" spans="1:2" x14ac:dyDescent="0.2">
      <c r="A13450" t="str">
        <f>"RBM7"</f>
        <v>RBM7</v>
      </c>
      <c r="B13450" t="s">
        <v>2</v>
      </c>
    </row>
    <row r="13451" spans="1:2" x14ac:dyDescent="0.2">
      <c r="A13451" t="str">
        <f>"RBM8A"</f>
        <v>RBM8A</v>
      </c>
      <c r="B13451" t="s">
        <v>8</v>
      </c>
    </row>
    <row r="13452" spans="1:2" x14ac:dyDescent="0.2">
      <c r="A13452" t="str">
        <f>"RBMS1"</f>
        <v>RBMS1</v>
      </c>
      <c r="B13452" t="s">
        <v>8</v>
      </c>
    </row>
    <row r="13453" spans="1:2" x14ac:dyDescent="0.2">
      <c r="A13453" t="str">
        <f>"RBMS2"</f>
        <v>RBMS2</v>
      </c>
      <c r="B13453" t="s">
        <v>8</v>
      </c>
    </row>
    <row r="13454" spans="1:2" x14ac:dyDescent="0.2">
      <c r="A13454" t="str">
        <f>"RBMS3"</f>
        <v>RBMS3</v>
      </c>
      <c r="B13454" t="s">
        <v>8</v>
      </c>
    </row>
    <row r="13455" spans="1:2" x14ac:dyDescent="0.2">
      <c r="A13455" t="str">
        <f>"RBMX"</f>
        <v>RBMX</v>
      </c>
      <c r="B13455" t="s">
        <v>8</v>
      </c>
    </row>
    <row r="13456" spans="1:2" x14ac:dyDescent="0.2">
      <c r="A13456" t="str">
        <f>"RBMX2"</f>
        <v>RBMX2</v>
      </c>
      <c r="B13456" t="s">
        <v>8</v>
      </c>
    </row>
    <row r="13457" spans="1:2" x14ac:dyDescent="0.2">
      <c r="A13457" t="str">
        <f>"RBMXL1"</f>
        <v>RBMXL1</v>
      </c>
      <c r="B13457" t="s">
        <v>6</v>
      </c>
    </row>
    <row r="13458" spans="1:2" x14ac:dyDescent="0.2">
      <c r="A13458" t="str">
        <f>"RBMXL2"</f>
        <v>RBMXL2</v>
      </c>
      <c r="B13458" t="s">
        <v>8</v>
      </c>
    </row>
    <row r="13459" spans="1:2" x14ac:dyDescent="0.2">
      <c r="A13459" t="str">
        <f>"RBMXL3"</f>
        <v>RBMXL3</v>
      </c>
      <c r="B13459" t="s">
        <v>4</v>
      </c>
    </row>
    <row r="13460" spans="1:2" x14ac:dyDescent="0.2">
      <c r="A13460" t="str">
        <f>"RBP1"</f>
        <v>RBP1</v>
      </c>
      <c r="B13460" t="s">
        <v>7</v>
      </c>
    </row>
    <row r="13461" spans="1:2" x14ac:dyDescent="0.2">
      <c r="A13461" t="str">
        <f>"RBP2"</f>
        <v>RBP2</v>
      </c>
      <c r="B13461" t="s">
        <v>6</v>
      </c>
    </row>
    <row r="13462" spans="1:2" x14ac:dyDescent="0.2">
      <c r="A13462" t="str">
        <f>"RBP3"</f>
        <v>RBP3</v>
      </c>
      <c r="B13462" t="s">
        <v>7</v>
      </c>
    </row>
    <row r="13463" spans="1:2" x14ac:dyDescent="0.2">
      <c r="A13463" t="str">
        <f>"RBP4"</f>
        <v>RBP4</v>
      </c>
      <c r="B13463" t="s">
        <v>6</v>
      </c>
    </row>
    <row r="13464" spans="1:2" x14ac:dyDescent="0.2">
      <c r="A13464" t="str">
        <f>"RBP5"</f>
        <v>RBP5</v>
      </c>
      <c r="B13464" t="s">
        <v>6</v>
      </c>
    </row>
    <row r="13465" spans="1:2" x14ac:dyDescent="0.2">
      <c r="A13465" t="str">
        <f>"RBP7"</f>
        <v>RBP7</v>
      </c>
      <c r="B13465" t="s">
        <v>2</v>
      </c>
    </row>
    <row r="13466" spans="1:2" x14ac:dyDescent="0.2">
      <c r="A13466" t="str">
        <f>"RBPJ"</f>
        <v>RBPJ</v>
      </c>
      <c r="B13466" t="s">
        <v>3</v>
      </c>
    </row>
    <row r="13467" spans="1:2" x14ac:dyDescent="0.2">
      <c r="A13467" t="str">
        <f>"RBPJL"</f>
        <v>RBPJL</v>
      </c>
      <c r="B13467" t="s">
        <v>8</v>
      </c>
    </row>
    <row r="13468" spans="1:2" x14ac:dyDescent="0.2">
      <c r="A13468" t="str">
        <f>"RBPMS"</f>
        <v>RBPMS</v>
      </c>
      <c r="B13468" t="s">
        <v>8</v>
      </c>
    </row>
    <row r="13469" spans="1:2" x14ac:dyDescent="0.2">
      <c r="A13469" t="str">
        <f>"RBPMS2"</f>
        <v>RBPMS2</v>
      </c>
      <c r="B13469" t="s">
        <v>8</v>
      </c>
    </row>
    <row r="13470" spans="1:2" x14ac:dyDescent="0.2">
      <c r="A13470" t="str">
        <f>"RBX1"</f>
        <v>RBX1</v>
      </c>
      <c r="B13470" t="s">
        <v>3</v>
      </c>
    </row>
    <row r="13471" spans="1:2" x14ac:dyDescent="0.2">
      <c r="A13471" t="str">
        <f>"RC3H1"</f>
        <v>RC3H1</v>
      </c>
      <c r="B13471" t="s">
        <v>2</v>
      </c>
    </row>
    <row r="13472" spans="1:2" x14ac:dyDescent="0.2">
      <c r="A13472" t="str">
        <f>"RC3H2"</f>
        <v>RC3H2</v>
      </c>
      <c r="B13472" t="s">
        <v>2</v>
      </c>
    </row>
    <row r="13473" spans="1:2" x14ac:dyDescent="0.2">
      <c r="A13473" t="str">
        <f>"RCAN1"</f>
        <v>RCAN1</v>
      </c>
      <c r="B13473" t="s">
        <v>8</v>
      </c>
    </row>
    <row r="13474" spans="1:2" x14ac:dyDescent="0.2">
      <c r="A13474" t="str">
        <f>"RCAN2"</f>
        <v>RCAN2</v>
      </c>
      <c r="B13474" t="s">
        <v>5</v>
      </c>
    </row>
    <row r="13475" spans="1:2" x14ac:dyDescent="0.2">
      <c r="A13475" t="str">
        <f>"RCAN3"</f>
        <v>RCAN3</v>
      </c>
      <c r="B13475" t="s">
        <v>8</v>
      </c>
    </row>
    <row r="13476" spans="1:2" x14ac:dyDescent="0.2">
      <c r="A13476" t="str">
        <f>"RCBTB1"</f>
        <v>RCBTB1</v>
      </c>
      <c r="B13476" t="s">
        <v>3</v>
      </c>
    </row>
    <row r="13477" spans="1:2" x14ac:dyDescent="0.2">
      <c r="A13477" t="str">
        <f>"RCBTB2"</f>
        <v>RCBTB2</v>
      </c>
      <c r="B13477" t="s">
        <v>6</v>
      </c>
    </row>
    <row r="13478" spans="1:2" x14ac:dyDescent="0.2">
      <c r="A13478" t="str">
        <f>"RCC1"</f>
        <v>RCC1</v>
      </c>
      <c r="B13478" t="s">
        <v>3</v>
      </c>
    </row>
    <row r="13479" spans="1:2" x14ac:dyDescent="0.2">
      <c r="A13479" t="str">
        <f>"RCC2"</f>
        <v>RCC2</v>
      </c>
      <c r="B13479" t="s">
        <v>3</v>
      </c>
    </row>
    <row r="13480" spans="1:2" x14ac:dyDescent="0.2">
      <c r="A13480" t="str">
        <f>"RCCD1"</f>
        <v>RCCD1</v>
      </c>
      <c r="B13480" t="s">
        <v>4</v>
      </c>
    </row>
    <row r="13481" spans="1:2" x14ac:dyDescent="0.2">
      <c r="A13481" t="str">
        <f>"RCE1"</f>
        <v>RCE1</v>
      </c>
      <c r="B13481" t="s">
        <v>2</v>
      </c>
    </row>
    <row r="13482" spans="1:2" x14ac:dyDescent="0.2">
      <c r="A13482" t="str">
        <f>"RCHY1"</f>
        <v>RCHY1</v>
      </c>
      <c r="B13482" t="s">
        <v>3</v>
      </c>
    </row>
    <row r="13483" spans="1:2" x14ac:dyDescent="0.2">
      <c r="A13483" t="str">
        <f>"RCL1"</f>
        <v>RCL1</v>
      </c>
      <c r="B13483" t="s">
        <v>2</v>
      </c>
    </row>
    <row r="13484" spans="1:2" x14ac:dyDescent="0.2">
      <c r="A13484" t="str">
        <f>"RCN1"</f>
        <v>RCN1</v>
      </c>
      <c r="B13484" t="s">
        <v>6</v>
      </c>
    </row>
    <row r="13485" spans="1:2" x14ac:dyDescent="0.2">
      <c r="A13485" t="str">
        <f>"RCN2"</f>
        <v>RCN2</v>
      </c>
      <c r="B13485" t="s">
        <v>6</v>
      </c>
    </row>
    <row r="13486" spans="1:2" x14ac:dyDescent="0.2">
      <c r="A13486" t="str">
        <f>"RCN3"</f>
        <v>RCN3</v>
      </c>
      <c r="B13486" t="s">
        <v>6</v>
      </c>
    </row>
    <row r="13487" spans="1:2" x14ac:dyDescent="0.2">
      <c r="A13487" t="str">
        <f>"RCOR1"</f>
        <v>RCOR1</v>
      </c>
      <c r="B13487" t="s">
        <v>8</v>
      </c>
    </row>
    <row r="13488" spans="1:2" x14ac:dyDescent="0.2">
      <c r="A13488" t="str">
        <f>"RCOR2"</f>
        <v>RCOR2</v>
      </c>
      <c r="B13488" t="s">
        <v>8</v>
      </c>
    </row>
    <row r="13489" spans="1:2" x14ac:dyDescent="0.2">
      <c r="A13489" t="str">
        <f>"RCOR3"</f>
        <v>RCOR3</v>
      </c>
      <c r="B13489" t="s">
        <v>6</v>
      </c>
    </row>
    <row r="13490" spans="1:2" x14ac:dyDescent="0.2">
      <c r="A13490" t="str">
        <f>"RCSD1"</f>
        <v>RCSD1</v>
      </c>
      <c r="B13490" t="s">
        <v>3</v>
      </c>
    </row>
    <row r="13491" spans="1:2" x14ac:dyDescent="0.2">
      <c r="A13491" t="str">
        <f>"RCVRN"</f>
        <v>RCVRN</v>
      </c>
      <c r="B13491" t="s">
        <v>7</v>
      </c>
    </row>
    <row r="13492" spans="1:2" x14ac:dyDescent="0.2">
      <c r="A13492" t="str">
        <f>"RD3"</f>
        <v>RD3</v>
      </c>
      <c r="B13492" t="s">
        <v>4</v>
      </c>
    </row>
    <row r="13493" spans="1:2" x14ac:dyDescent="0.2">
      <c r="A13493" t="str">
        <f>"RD3L"</f>
        <v>RD3L</v>
      </c>
      <c r="B13493" t="s">
        <v>4</v>
      </c>
    </row>
    <row r="13494" spans="1:2" x14ac:dyDescent="0.2">
      <c r="A13494" t="str">
        <f>"RDH10"</f>
        <v>RDH10</v>
      </c>
      <c r="B13494" t="s">
        <v>2</v>
      </c>
    </row>
    <row r="13495" spans="1:2" x14ac:dyDescent="0.2">
      <c r="A13495" t="str">
        <f>"RDH11"</f>
        <v>RDH11</v>
      </c>
      <c r="B13495" t="s">
        <v>3</v>
      </c>
    </row>
    <row r="13496" spans="1:2" x14ac:dyDescent="0.2">
      <c r="A13496" t="str">
        <f>"RDH12"</f>
        <v>RDH12</v>
      </c>
      <c r="B13496" t="s">
        <v>7</v>
      </c>
    </row>
    <row r="13497" spans="1:2" x14ac:dyDescent="0.2">
      <c r="A13497" t="str">
        <f>"RDH13"</f>
        <v>RDH13</v>
      </c>
      <c r="B13497" t="s">
        <v>7</v>
      </c>
    </row>
    <row r="13498" spans="1:2" x14ac:dyDescent="0.2">
      <c r="A13498" t="str">
        <f>"RDH14"</f>
        <v>RDH14</v>
      </c>
      <c r="B13498" t="s">
        <v>7</v>
      </c>
    </row>
    <row r="13499" spans="1:2" x14ac:dyDescent="0.2">
      <c r="A13499" t="str">
        <f>"RDH16"</f>
        <v>RDH16</v>
      </c>
      <c r="B13499" t="s">
        <v>6</v>
      </c>
    </row>
    <row r="13500" spans="1:2" x14ac:dyDescent="0.2">
      <c r="A13500" t="str">
        <f>"RDH5"</f>
        <v>RDH5</v>
      </c>
      <c r="B13500" t="s">
        <v>7</v>
      </c>
    </row>
    <row r="13501" spans="1:2" x14ac:dyDescent="0.2">
      <c r="A13501" t="str">
        <f>"RDH8"</f>
        <v>RDH8</v>
      </c>
      <c r="B13501" t="s">
        <v>7</v>
      </c>
    </row>
    <row r="13502" spans="1:2" x14ac:dyDescent="0.2">
      <c r="A13502" t="str">
        <f>"RDM1"</f>
        <v>RDM1</v>
      </c>
      <c r="B13502" t="s">
        <v>8</v>
      </c>
    </row>
    <row r="13503" spans="1:2" x14ac:dyDescent="0.2">
      <c r="A13503" t="str">
        <f>"RDX"</f>
        <v>RDX</v>
      </c>
      <c r="B13503" t="s">
        <v>7</v>
      </c>
    </row>
    <row r="13504" spans="1:2" x14ac:dyDescent="0.2">
      <c r="A13504" t="str">
        <f>"REC8"</f>
        <v>REC8</v>
      </c>
      <c r="B13504" t="s">
        <v>3</v>
      </c>
    </row>
    <row r="13505" spans="1:2" x14ac:dyDescent="0.2">
      <c r="A13505" t="str">
        <f>"RECK"</f>
        <v>RECK</v>
      </c>
      <c r="B13505" t="s">
        <v>3</v>
      </c>
    </row>
    <row r="13506" spans="1:2" x14ac:dyDescent="0.2">
      <c r="A13506" t="str">
        <f>"RECQL"</f>
        <v>RECQL</v>
      </c>
      <c r="B13506" t="s">
        <v>8</v>
      </c>
    </row>
    <row r="13507" spans="1:2" x14ac:dyDescent="0.2">
      <c r="A13507" t="str">
        <f>"RECQL4"</f>
        <v>RECQL4</v>
      </c>
      <c r="B13507" t="s">
        <v>3</v>
      </c>
    </row>
    <row r="13508" spans="1:2" x14ac:dyDescent="0.2">
      <c r="A13508" t="str">
        <f>"RECQL5"</f>
        <v>RECQL5</v>
      </c>
      <c r="B13508" t="s">
        <v>3</v>
      </c>
    </row>
    <row r="13509" spans="1:2" x14ac:dyDescent="0.2">
      <c r="A13509" t="str">
        <f>"REEP1"</f>
        <v>REEP1</v>
      </c>
      <c r="B13509" t="s">
        <v>6</v>
      </c>
    </row>
    <row r="13510" spans="1:2" x14ac:dyDescent="0.2">
      <c r="A13510" t="str">
        <f>"REEP2"</f>
        <v>REEP2</v>
      </c>
      <c r="B13510" t="s">
        <v>6</v>
      </c>
    </row>
    <row r="13511" spans="1:2" x14ac:dyDescent="0.2">
      <c r="A13511" t="str">
        <f>"REEP3"</f>
        <v>REEP3</v>
      </c>
      <c r="B13511" t="s">
        <v>5</v>
      </c>
    </row>
    <row r="13512" spans="1:2" x14ac:dyDescent="0.2">
      <c r="A13512" t="str">
        <f>"REEP4"</f>
        <v>REEP4</v>
      </c>
      <c r="B13512" t="s">
        <v>5</v>
      </c>
    </row>
    <row r="13513" spans="1:2" x14ac:dyDescent="0.2">
      <c r="A13513" t="str">
        <f>"REEP5"</f>
        <v>REEP5</v>
      </c>
      <c r="B13513" t="s">
        <v>6</v>
      </c>
    </row>
    <row r="13514" spans="1:2" x14ac:dyDescent="0.2">
      <c r="A13514" t="str">
        <f>"REEP6"</f>
        <v>REEP6</v>
      </c>
      <c r="B13514" t="s">
        <v>6</v>
      </c>
    </row>
    <row r="13515" spans="1:2" x14ac:dyDescent="0.2">
      <c r="A13515" t="str">
        <f>"REG1A"</f>
        <v>REG1A</v>
      </c>
      <c r="B13515" t="s">
        <v>7</v>
      </c>
    </row>
    <row r="13516" spans="1:2" x14ac:dyDescent="0.2">
      <c r="A13516" t="str">
        <f>"REG1B"</f>
        <v>REG1B</v>
      </c>
      <c r="B13516" t="s">
        <v>4</v>
      </c>
    </row>
    <row r="13517" spans="1:2" x14ac:dyDescent="0.2">
      <c r="A13517" t="str">
        <f>"REG3A"</f>
        <v>REG3A</v>
      </c>
      <c r="B13517" t="s">
        <v>4</v>
      </c>
    </row>
    <row r="13518" spans="1:2" x14ac:dyDescent="0.2">
      <c r="A13518" t="str">
        <f>"REG3G"</f>
        <v>REG3G</v>
      </c>
      <c r="B13518" t="s">
        <v>4</v>
      </c>
    </row>
    <row r="13519" spans="1:2" x14ac:dyDescent="0.2">
      <c r="A13519" t="str">
        <f>"REG4"</f>
        <v>REG4</v>
      </c>
      <c r="B13519" t="s">
        <v>3</v>
      </c>
    </row>
    <row r="13520" spans="1:2" x14ac:dyDescent="0.2">
      <c r="A13520" t="str">
        <f>"REL"</f>
        <v>REL</v>
      </c>
      <c r="B13520" t="s">
        <v>3</v>
      </c>
    </row>
    <row r="13521" spans="1:2" x14ac:dyDescent="0.2">
      <c r="A13521" t="str">
        <f>"RELA"</f>
        <v>RELA</v>
      </c>
      <c r="B13521" t="s">
        <v>3</v>
      </c>
    </row>
    <row r="13522" spans="1:2" x14ac:dyDescent="0.2">
      <c r="A13522" t="str">
        <f>"RELB"</f>
        <v>RELB</v>
      </c>
      <c r="B13522" t="s">
        <v>3</v>
      </c>
    </row>
    <row r="13523" spans="1:2" x14ac:dyDescent="0.2">
      <c r="A13523" t="str">
        <f>"RELL1"</f>
        <v>RELL1</v>
      </c>
      <c r="B13523" t="s">
        <v>5</v>
      </c>
    </row>
    <row r="13524" spans="1:2" x14ac:dyDescent="0.2">
      <c r="A13524" t="str">
        <f>"RELL2"</f>
        <v>RELL2</v>
      </c>
      <c r="B13524" t="s">
        <v>8</v>
      </c>
    </row>
    <row r="13525" spans="1:2" x14ac:dyDescent="0.2">
      <c r="A13525" t="str">
        <f>"RELN"</f>
        <v>RELN</v>
      </c>
      <c r="B13525" t="s">
        <v>3</v>
      </c>
    </row>
    <row r="13526" spans="1:2" x14ac:dyDescent="0.2">
      <c r="A13526" t="str">
        <f>"RELT"</f>
        <v>RELT</v>
      </c>
      <c r="B13526" t="s">
        <v>5</v>
      </c>
    </row>
    <row r="13527" spans="1:2" x14ac:dyDescent="0.2">
      <c r="A13527" t="str">
        <f>"REM1"</f>
        <v>REM1</v>
      </c>
      <c r="B13527" t="s">
        <v>6</v>
      </c>
    </row>
    <row r="13528" spans="1:2" x14ac:dyDescent="0.2">
      <c r="A13528" t="str">
        <f>"REM2"</f>
        <v>REM2</v>
      </c>
      <c r="B13528" t="s">
        <v>8</v>
      </c>
    </row>
    <row r="13529" spans="1:2" x14ac:dyDescent="0.2">
      <c r="A13529" t="str">
        <f>"REN"</f>
        <v>REN</v>
      </c>
      <c r="B13529" t="s">
        <v>7</v>
      </c>
    </row>
    <row r="13530" spans="1:2" x14ac:dyDescent="0.2">
      <c r="A13530" t="str">
        <f>"RENBP"</f>
        <v>RENBP</v>
      </c>
      <c r="B13530" t="s">
        <v>7</v>
      </c>
    </row>
    <row r="13531" spans="1:2" x14ac:dyDescent="0.2">
      <c r="A13531" t="str">
        <f>"REP15"</f>
        <v>REP15</v>
      </c>
      <c r="B13531" t="s">
        <v>4</v>
      </c>
    </row>
    <row r="13532" spans="1:2" x14ac:dyDescent="0.2">
      <c r="A13532" t="str">
        <f>"REPIN1"</f>
        <v>REPIN1</v>
      </c>
      <c r="B13532" t="s">
        <v>8</v>
      </c>
    </row>
    <row r="13533" spans="1:2" x14ac:dyDescent="0.2">
      <c r="A13533" t="str">
        <f>"REPS1"</f>
        <v>REPS1</v>
      </c>
      <c r="B13533" t="s">
        <v>4</v>
      </c>
    </row>
    <row r="13534" spans="1:2" x14ac:dyDescent="0.2">
      <c r="A13534" t="str">
        <f>"REPS2"</f>
        <v>REPS2</v>
      </c>
      <c r="B13534" t="s">
        <v>3</v>
      </c>
    </row>
    <row r="13535" spans="1:2" x14ac:dyDescent="0.2">
      <c r="A13535" t="str">
        <f>"RER1"</f>
        <v>RER1</v>
      </c>
      <c r="B13535" t="s">
        <v>6</v>
      </c>
    </row>
    <row r="13536" spans="1:2" x14ac:dyDescent="0.2">
      <c r="A13536" t="str">
        <f>"RERE"</f>
        <v>RERE</v>
      </c>
      <c r="B13536" t="s">
        <v>6</v>
      </c>
    </row>
    <row r="13537" spans="1:2" x14ac:dyDescent="0.2">
      <c r="A13537" t="str">
        <f>"RERG"</f>
        <v>RERG</v>
      </c>
      <c r="B13537" t="s">
        <v>6</v>
      </c>
    </row>
    <row r="13538" spans="1:2" x14ac:dyDescent="0.2">
      <c r="A13538" t="str">
        <f>"RERGL"</f>
        <v>RERGL</v>
      </c>
      <c r="B13538" t="s">
        <v>6</v>
      </c>
    </row>
    <row r="13539" spans="1:2" x14ac:dyDescent="0.2">
      <c r="A13539" t="str">
        <f>"RESP18"</f>
        <v>RESP18</v>
      </c>
      <c r="B13539" t="s">
        <v>6</v>
      </c>
    </row>
    <row r="13540" spans="1:2" x14ac:dyDescent="0.2">
      <c r="A13540" t="str">
        <f>"REST"</f>
        <v>REST</v>
      </c>
      <c r="B13540" t="s">
        <v>2</v>
      </c>
    </row>
    <row r="13541" spans="1:2" x14ac:dyDescent="0.2">
      <c r="A13541" t="str">
        <f>"RET"</f>
        <v>RET</v>
      </c>
      <c r="B13541" t="s">
        <v>7</v>
      </c>
    </row>
    <row r="13542" spans="1:2" x14ac:dyDescent="0.2">
      <c r="A13542" t="str">
        <f>"RETN"</f>
        <v>RETN</v>
      </c>
      <c r="B13542" t="s">
        <v>4</v>
      </c>
    </row>
    <row r="13543" spans="1:2" x14ac:dyDescent="0.2">
      <c r="A13543" t="str">
        <f>"RETNLB"</f>
        <v>RETNLB</v>
      </c>
      <c r="B13543" t="s">
        <v>4</v>
      </c>
    </row>
    <row r="13544" spans="1:2" x14ac:dyDescent="0.2">
      <c r="A13544" t="str">
        <f>"RETSAT"</f>
        <v>RETSAT</v>
      </c>
      <c r="B13544" t="s">
        <v>7</v>
      </c>
    </row>
    <row r="13545" spans="1:2" x14ac:dyDescent="0.2">
      <c r="A13545" t="str">
        <f>"REV1"</f>
        <v>REV1</v>
      </c>
      <c r="B13545" t="s">
        <v>3</v>
      </c>
    </row>
    <row r="13546" spans="1:2" x14ac:dyDescent="0.2">
      <c r="A13546" t="str">
        <f>"REV3L"</f>
        <v>REV3L</v>
      </c>
      <c r="B13546" t="s">
        <v>3</v>
      </c>
    </row>
    <row r="13547" spans="1:2" x14ac:dyDescent="0.2">
      <c r="A13547" t="str">
        <f>"REXO1"</f>
        <v>REXO1</v>
      </c>
      <c r="B13547" t="s">
        <v>8</v>
      </c>
    </row>
    <row r="13548" spans="1:2" x14ac:dyDescent="0.2">
      <c r="A13548" t="str">
        <f>"REXO2"</f>
        <v>REXO2</v>
      </c>
      <c r="B13548" t="s">
        <v>6</v>
      </c>
    </row>
    <row r="13549" spans="1:2" x14ac:dyDescent="0.2">
      <c r="A13549" t="str">
        <f>"REXO4"</f>
        <v>REXO4</v>
      </c>
      <c r="B13549" t="s">
        <v>8</v>
      </c>
    </row>
    <row r="13550" spans="1:2" x14ac:dyDescent="0.2">
      <c r="A13550" t="str">
        <f>"RFC1"</f>
        <v>RFC1</v>
      </c>
      <c r="B13550" t="s">
        <v>3</v>
      </c>
    </row>
    <row r="13551" spans="1:2" x14ac:dyDescent="0.2">
      <c r="A13551" t="str">
        <f>"RFC2"</f>
        <v>RFC2</v>
      </c>
      <c r="B13551" t="s">
        <v>8</v>
      </c>
    </row>
    <row r="13552" spans="1:2" x14ac:dyDescent="0.2">
      <c r="A13552" t="str">
        <f>"RFC3"</f>
        <v>RFC3</v>
      </c>
      <c r="B13552" t="s">
        <v>8</v>
      </c>
    </row>
    <row r="13553" spans="1:2" x14ac:dyDescent="0.2">
      <c r="A13553" t="str">
        <f>"RFC4"</f>
        <v>RFC4</v>
      </c>
      <c r="B13553" t="s">
        <v>3</v>
      </c>
    </row>
    <row r="13554" spans="1:2" x14ac:dyDescent="0.2">
      <c r="A13554" t="str">
        <f>"RFC5"</f>
        <v>RFC5</v>
      </c>
      <c r="B13554" t="s">
        <v>3</v>
      </c>
    </row>
    <row r="13555" spans="1:2" x14ac:dyDescent="0.2">
      <c r="A13555" t="str">
        <f>"RFESD"</f>
        <v>RFESD</v>
      </c>
      <c r="B13555" t="s">
        <v>4</v>
      </c>
    </row>
    <row r="13556" spans="1:2" x14ac:dyDescent="0.2">
      <c r="A13556" t="str">
        <f>"RFFL"</f>
        <v>RFFL</v>
      </c>
      <c r="B13556" t="s">
        <v>2</v>
      </c>
    </row>
    <row r="13557" spans="1:2" x14ac:dyDescent="0.2">
      <c r="A13557" t="str">
        <f>"RFK"</f>
        <v>RFK</v>
      </c>
      <c r="B13557" t="s">
        <v>7</v>
      </c>
    </row>
    <row r="13558" spans="1:2" x14ac:dyDescent="0.2">
      <c r="A13558" t="str">
        <f>"RFNG"</f>
        <v>RFNG</v>
      </c>
      <c r="B13558" t="s">
        <v>6</v>
      </c>
    </row>
    <row r="13559" spans="1:2" x14ac:dyDescent="0.2">
      <c r="A13559" t="str">
        <f>"RFPL1"</f>
        <v>RFPL1</v>
      </c>
      <c r="B13559" t="s">
        <v>2</v>
      </c>
    </row>
    <row r="13560" spans="1:2" x14ac:dyDescent="0.2">
      <c r="A13560" t="str">
        <f>"RFPL2"</f>
        <v>RFPL2</v>
      </c>
      <c r="B13560" t="s">
        <v>2</v>
      </c>
    </row>
    <row r="13561" spans="1:2" x14ac:dyDescent="0.2">
      <c r="A13561" t="str">
        <f>"RFPL3"</f>
        <v>RFPL3</v>
      </c>
      <c r="B13561" t="s">
        <v>2</v>
      </c>
    </row>
    <row r="13562" spans="1:2" x14ac:dyDescent="0.2">
      <c r="A13562" t="str">
        <f>"RFPL4A"</f>
        <v>RFPL4A</v>
      </c>
      <c r="B13562" t="s">
        <v>2</v>
      </c>
    </row>
    <row r="13563" spans="1:2" x14ac:dyDescent="0.2">
      <c r="A13563" t="str">
        <f>"RFPL4AL1"</f>
        <v>RFPL4AL1</v>
      </c>
      <c r="B13563" t="s">
        <v>4</v>
      </c>
    </row>
    <row r="13564" spans="1:2" x14ac:dyDescent="0.2">
      <c r="A13564" t="str">
        <f>"RFPL4B"</f>
        <v>RFPL4B</v>
      </c>
      <c r="B13564" t="s">
        <v>2</v>
      </c>
    </row>
    <row r="13565" spans="1:2" x14ac:dyDescent="0.2">
      <c r="A13565" t="str">
        <f>"RFT1"</f>
        <v>RFT1</v>
      </c>
      <c r="B13565" t="s">
        <v>6</v>
      </c>
    </row>
    <row r="13566" spans="1:2" x14ac:dyDescent="0.2">
      <c r="A13566" t="str">
        <f>"RFTN1"</f>
        <v>RFTN1</v>
      </c>
      <c r="B13566" t="s">
        <v>4</v>
      </c>
    </row>
    <row r="13567" spans="1:2" x14ac:dyDescent="0.2">
      <c r="A13567" t="str">
        <f>"RFTN2"</f>
        <v>RFTN2</v>
      </c>
      <c r="B13567" t="s">
        <v>4</v>
      </c>
    </row>
    <row r="13568" spans="1:2" x14ac:dyDescent="0.2">
      <c r="A13568" t="str">
        <f>"RFWD2"</f>
        <v>RFWD2</v>
      </c>
      <c r="B13568" t="s">
        <v>2</v>
      </c>
    </row>
    <row r="13569" spans="1:2" x14ac:dyDescent="0.2">
      <c r="A13569" t="str">
        <f>"RFWD3"</f>
        <v>RFWD3</v>
      </c>
      <c r="B13569" t="s">
        <v>2</v>
      </c>
    </row>
    <row r="13570" spans="1:2" x14ac:dyDescent="0.2">
      <c r="A13570" t="str">
        <f>"RFX1"</f>
        <v>RFX1</v>
      </c>
      <c r="B13570" t="s">
        <v>8</v>
      </c>
    </row>
    <row r="13571" spans="1:2" x14ac:dyDescent="0.2">
      <c r="A13571" t="str">
        <f>"RFX2"</f>
        <v>RFX2</v>
      </c>
      <c r="B13571" t="s">
        <v>8</v>
      </c>
    </row>
    <row r="13572" spans="1:2" x14ac:dyDescent="0.2">
      <c r="A13572" t="str">
        <f>"RFX3"</f>
        <v>RFX3</v>
      </c>
      <c r="B13572" t="s">
        <v>8</v>
      </c>
    </row>
    <row r="13573" spans="1:2" x14ac:dyDescent="0.2">
      <c r="A13573" t="str">
        <f>"RFX4"</f>
        <v>RFX4</v>
      </c>
      <c r="B13573" t="s">
        <v>8</v>
      </c>
    </row>
    <row r="13574" spans="1:2" x14ac:dyDescent="0.2">
      <c r="A13574" t="str">
        <f>"RFX5"</f>
        <v>RFX5</v>
      </c>
      <c r="B13574" t="s">
        <v>8</v>
      </c>
    </row>
    <row r="13575" spans="1:2" x14ac:dyDescent="0.2">
      <c r="A13575" t="str">
        <f>"RFX6"</f>
        <v>RFX6</v>
      </c>
      <c r="B13575" t="s">
        <v>8</v>
      </c>
    </row>
    <row r="13576" spans="1:2" x14ac:dyDescent="0.2">
      <c r="A13576" t="str">
        <f>"RFX7"</f>
        <v>RFX7</v>
      </c>
      <c r="B13576" t="s">
        <v>8</v>
      </c>
    </row>
    <row r="13577" spans="1:2" x14ac:dyDescent="0.2">
      <c r="A13577" t="str">
        <f>"RFX8"</f>
        <v>RFX8</v>
      </c>
      <c r="B13577" t="s">
        <v>8</v>
      </c>
    </row>
    <row r="13578" spans="1:2" x14ac:dyDescent="0.2">
      <c r="A13578" t="str">
        <f>"RFXANK"</f>
        <v>RFXANK</v>
      </c>
      <c r="B13578" t="s">
        <v>8</v>
      </c>
    </row>
    <row r="13579" spans="1:2" x14ac:dyDescent="0.2">
      <c r="A13579" t="str">
        <f>"RFXAP"</f>
        <v>RFXAP</v>
      </c>
      <c r="B13579" t="s">
        <v>8</v>
      </c>
    </row>
    <row r="13580" spans="1:2" x14ac:dyDescent="0.2">
      <c r="A13580" t="str">
        <f>"RGAG1"</f>
        <v>RGAG1</v>
      </c>
      <c r="B13580" t="s">
        <v>3</v>
      </c>
    </row>
    <row r="13581" spans="1:2" x14ac:dyDescent="0.2">
      <c r="A13581" t="str">
        <f>"RGAG4"</f>
        <v>RGAG4</v>
      </c>
      <c r="B13581" t="s">
        <v>3</v>
      </c>
    </row>
    <row r="13582" spans="1:2" x14ac:dyDescent="0.2">
      <c r="A13582" t="str">
        <f>"RGCC"</f>
        <v>RGCC</v>
      </c>
      <c r="B13582" t="s">
        <v>3</v>
      </c>
    </row>
    <row r="13583" spans="1:2" x14ac:dyDescent="0.2">
      <c r="A13583" t="str">
        <f>"RGL1"</f>
        <v>RGL1</v>
      </c>
      <c r="B13583" t="s">
        <v>6</v>
      </c>
    </row>
    <row r="13584" spans="1:2" x14ac:dyDescent="0.2">
      <c r="A13584" t="str">
        <f>"RGL2"</f>
        <v>RGL2</v>
      </c>
      <c r="B13584" t="s">
        <v>6</v>
      </c>
    </row>
    <row r="13585" spans="1:2" x14ac:dyDescent="0.2">
      <c r="A13585" t="str">
        <f>"RGL3"</f>
        <v>RGL3</v>
      </c>
      <c r="B13585" t="s">
        <v>6</v>
      </c>
    </row>
    <row r="13586" spans="1:2" x14ac:dyDescent="0.2">
      <c r="A13586" t="str">
        <f>"RGL4"</f>
        <v>RGL4</v>
      </c>
      <c r="B13586" t="s">
        <v>2</v>
      </c>
    </row>
    <row r="13587" spans="1:2" x14ac:dyDescent="0.2">
      <c r="A13587" t="str">
        <f>"RGMA"</f>
        <v>RGMA</v>
      </c>
      <c r="B13587" t="s">
        <v>4</v>
      </c>
    </row>
    <row r="13588" spans="1:2" x14ac:dyDescent="0.2">
      <c r="A13588" t="str">
        <f>"RGMB"</f>
        <v>RGMB</v>
      </c>
      <c r="B13588" t="s">
        <v>6</v>
      </c>
    </row>
    <row r="13589" spans="1:2" x14ac:dyDescent="0.2">
      <c r="A13589" t="str">
        <f>"RGN"</f>
        <v>RGN</v>
      </c>
      <c r="B13589" t="s">
        <v>2</v>
      </c>
    </row>
    <row r="13590" spans="1:2" x14ac:dyDescent="0.2">
      <c r="A13590" t="str">
        <f>"RGP1"</f>
        <v>RGP1</v>
      </c>
      <c r="B13590" t="s">
        <v>4</v>
      </c>
    </row>
    <row r="13591" spans="1:2" x14ac:dyDescent="0.2">
      <c r="A13591" t="str">
        <f>"RGPD1"</f>
        <v>RGPD1</v>
      </c>
      <c r="B13591" t="s">
        <v>6</v>
      </c>
    </row>
    <row r="13592" spans="1:2" x14ac:dyDescent="0.2">
      <c r="A13592" t="str">
        <f>"RGPD2"</f>
        <v>RGPD2</v>
      </c>
      <c r="B13592" t="s">
        <v>6</v>
      </c>
    </row>
    <row r="13593" spans="1:2" x14ac:dyDescent="0.2">
      <c r="A13593" t="str">
        <f>"RGPD3"</f>
        <v>RGPD3</v>
      </c>
      <c r="B13593" t="s">
        <v>6</v>
      </c>
    </row>
    <row r="13594" spans="1:2" x14ac:dyDescent="0.2">
      <c r="A13594" t="str">
        <f>"RGPD4"</f>
        <v>RGPD4</v>
      </c>
      <c r="B13594" t="s">
        <v>6</v>
      </c>
    </row>
    <row r="13595" spans="1:2" x14ac:dyDescent="0.2">
      <c r="A13595" t="str">
        <f>"RGPD5"</f>
        <v>RGPD5</v>
      </c>
      <c r="B13595" t="s">
        <v>6</v>
      </c>
    </row>
    <row r="13596" spans="1:2" x14ac:dyDescent="0.2">
      <c r="A13596" t="str">
        <f>"RGPD6"</f>
        <v>RGPD6</v>
      </c>
      <c r="B13596" t="s">
        <v>6</v>
      </c>
    </row>
    <row r="13597" spans="1:2" x14ac:dyDescent="0.2">
      <c r="A13597" t="str">
        <f>"RGPD8"</f>
        <v>RGPD8</v>
      </c>
      <c r="B13597" t="s">
        <v>6</v>
      </c>
    </row>
    <row r="13598" spans="1:2" x14ac:dyDescent="0.2">
      <c r="A13598" t="str">
        <f>"RGR"</f>
        <v>RGR</v>
      </c>
      <c r="B13598" t="s">
        <v>5</v>
      </c>
    </row>
    <row r="13599" spans="1:2" x14ac:dyDescent="0.2">
      <c r="A13599" t="str">
        <f>"RGS1"</f>
        <v>RGS1</v>
      </c>
      <c r="B13599" t="s">
        <v>4</v>
      </c>
    </row>
    <row r="13600" spans="1:2" x14ac:dyDescent="0.2">
      <c r="A13600" t="str">
        <f>"RGS10"</f>
        <v>RGS10</v>
      </c>
      <c r="B13600" t="s">
        <v>4</v>
      </c>
    </row>
    <row r="13601" spans="1:2" x14ac:dyDescent="0.2">
      <c r="A13601" t="str">
        <f>"RGS11"</f>
        <v>RGS11</v>
      </c>
      <c r="B13601" t="s">
        <v>8</v>
      </c>
    </row>
    <row r="13602" spans="1:2" x14ac:dyDescent="0.2">
      <c r="A13602" t="str">
        <f>"RGS12"</f>
        <v>RGS12</v>
      </c>
      <c r="B13602" t="s">
        <v>6</v>
      </c>
    </row>
    <row r="13603" spans="1:2" x14ac:dyDescent="0.2">
      <c r="A13603" t="str">
        <f>"RGS13"</f>
        <v>RGS13</v>
      </c>
      <c r="B13603" t="s">
        <v>4</v>
      </c>
    </row>
    <row r="13604" spans="1:2" x14ac:dyDescent="0.2">
      <c r="A13604" t="str">
        <f>"RGS14"</f>
        <v>RGS14</v>
      </c>
      <c r="B13604" t="s">
        <v>6</v>
      </c>
    </row>
    <row r="13605" spans="1:2" x14ac:dyDescent="0.2">
      <c r="A13605" t="str">
        <f>"RGS16"</f>
        <v>RGS16</v>
      </c>
      <c r="B13605" t="s">
        <v>6</v>
      </c>
    </row>
    <row r="13606" spans="1:2" x14ac:dyDescent="0.2">
      <c r="A13606" t="str">
        <f>"RGS17"</f>
        <v>RGS17</v>
      </c>
      <c r="B13606" t="s">
        <v>4</v>
      </c>
    </row>
    <row r="13607" spans="1:2" x14ac:dyDescent="0.2">
      <c r="A13607" t="str">
        <f>"RGS18"</f>
        <v>RGS18</v>
      </c>
      <c r="B13607" t="s">
        <v>4</v>
      </c>
    </row>
    <row r="13608" spans="1:2" x14ac:dyDescent="0.2">
      <c r="A13608" t="str">
        <f>"RGS19"</f>
        <v>RGS19</v>
      </c>
      <c r="B13608" t="s">
        <v>2</v>
      </c>
    </row>
    <row r="13609" spans="1:2" x14ac:dyDescent="0.2">
      <c r="A13609" t="str">
        <f>"RGS2"</f>
        <v>RGS2</v>
      </c>
      <c r="B13609" t="s">
        <v>3</v>
      </c>
    </row>
    <row r="13610" spans="1:2" x14ac:dyDescent="0.2">
      <c r="A13610" t="str">
        <f>"RGS20"</f>
        <v>RGS20</v>
      </c>
      <c r="B13610" t="s">
        <v>3</v>
      </c>
    </row>
    <row r="13611" spans="1:2" x14ac:dyDescent="0.2">
      <c r="A13611" t="str">
        <f>"RGS21"</f>
        <v>RGS21</v>
      </c>
      <c r="B13611" t="s">
        <v>4</v>
      </c>
    </row>
    <row r="13612" spans="1:2" x14ac:dyDescent="0.2">
      <c r="A13612" t="str">
        <f>"RGS22"</f>
        <v>RGS22</v>
      </c>
      <c r="B13612" t="s">
        <v>4</v>
      </c>
    </row>
    <row r="13613" spans="1:2" x14ac:dyDescent="0.2">
      <c r="A13613" t="str">
        <f>"RGS3"</f>
        <v>RGS3</v>
      </c>
      <c r="B13613" t="s">
        <v>6</v>
      </c>
    </row>
    <row r="13614" spans="1:2" x14ac:dyDescent="0.2">
      <c r="A13614" t="str">
        <f>"RGS4"</f>
        <v>RGS4</v>
      </c>
      <c r="B13614" t="s">
        <v>3</v>
      </c>
    </row>
    <row r="13615" spans="1:2" x14ac:dyDescent="0.2">
      <c r="A13615" t="str">
        <f>"RGS5"</f>
        <v>RGS5</v>
      </c>
      <c r="B13615" t="s">
        <v>5</v>
      </c>
    </row>
    <row r="13616" spans="1:2" x14ac:dyDescent="0.2">
      <c r="A13616" t="str">
        <f>"RGS6"</f>
        <v>RGS6</v>
      </c>
      <c r="B13616" t="s">
        <v>3</v>
      </c>
    </row>
    <row r="13617" spans="1:2" x14ac:dyDescent="0.2">
      <c r="A13617" t="str">
        <f>"RGS7"</f>
        <v>RGS7</v>
      </c>
      <c r="B13617" t="s">
        <v>8</v>
      </c>
    </row>
    <row r="13618" spans="1:2" x14ac:dyDescent="0.2">
      <c r="A13618" t="str">
        <f>"RGS7BP"</f>
        <v>RGS7BP</v>
      </c>
      <c r="B13618" t="s">
        <v>4</v>
      </c>
    </row>
    <row r="13619" spans="1:2" x14ac:dyDescent="0.2">
      <c r="A13619" t="str">
        <f>"RGS8"</f>
        <v>RGS8</v>
      </c>
      <c r="B13619" t="s">
        <v>4</v>
      </c>
    </row>
    <row r="13620" spans="1:2" x14ac:dyDescent="0.2">
      <c r="A13620" t="str">
        <f>"RGS9"</f>
        <v>RGS9</v>
      </c>
      <c r="B13620" t="s">
        <v>8</v>
      </c>
    </row>
    <row r="13621" spans="1:2" x14ac:dyDescent="0.2">
      <c r="A13621" t="str">
        <f>"RGS9BP"</f>
        <v>RGS9BP</v>
      </c>
      <c r="B13621" t="s">
        <v>5</v>
      </c>
    </row>
    <row r="13622" spans="1:2" x14ac:dyDescent="0.2">
      <c r="A13622" t="str">
        <f>"RGSL1"</f>
        <v>RGSL1</v>
      </c>
      <c r="B13622" t="s">
        <v>5</v>
      </c>
    </row>
    <row r="13623" spans="1:2" x14ac:dyDescent="0.2">
      <c r="A13623" t="str">
        <f>"RHAG"</f>
        <v>RHAG</v>
      </c>
      <c r="B13623" t="s">
        <v>2</v>
      </c>
    </row>
    <row r="13624" spans="1:2" x14ac:dyDescent="0.2">
      <c r="A13624" t="str">
        <f>"RHBDD1"</f>
        <v>RHBDD1</v>
      </c>
      <c r="B13624" t="s">
        <v>6</v>
      </c>
    </row>
    <row r="13625" spans="1:2" x14ac:dyDescent="0.2">
      <c r="A13625" t="str">
        <f>"RHBDD2"</f>
        <v>RHBDD2</v>
      </c>
      <c r="B13625" t="s">
        <v>5</v>
      </c>
    </row>
    <row r="13626" spans="1:2" x14ac:dyDescent="0.2">
      <c r="A13626" t="str">
        <f>"RHBDD3"</f>
        <v>RHBDD3</v>
      </c>
      <c r="B13626" t="s">
        <v>5</v>
      </c>
    </row>
    <row r="13627" spans="1:2" x14ac:dyDescent="0.2">
      <c r="A13627" t="str">
        <f>"RHBDF1"</f>
        <v>RHBDF1</v>
      </c>
      <c r="B13627" t="s">
        <v>5</v>
      </c>
    </row>
    <row r="13628" spans="1:2" x14ac:dyDescent="0.2">
      <c r="A13628" t="str">
        <f>"RHBDF2"</f>
        <v>RHBDF2</v>
      </c>
      <c r="B13628" t="s">
        <v>5</v>
      </c>
    </row>
    <row r="13629" spans="1:2" x14ac:dyDescent="0.2">
      <c r="A13629" t="str">
        <f>"RHBDL1"</f>
        <v>RHBDL1</v>
      </c>
      <c r="B13629" t="s">
        <v>5</v>
      </c>
    </row>
    <row r="13630" spans="1:2" x14ac:dyDescent="0.2">
      <c r="A13630" t="str">
        <f>"RHBDL2"</f>
        <v>RHBDL2</v>
      </c>
      <c r="B13630" t="s">
        <v>4</v>
      </c>
    </row>
    <row r="13631" spans="1:2" x14ac:dyDescent="0.2">
      <c r="A13631" t="str">
        <f>"RHBDL3"</f>
        <v>RHBDL3</v>
      </c>
      <c r="B13631" t="s">
        <v>5</v>
      </c>
    </row>
    <row r="13632" spans="1:2" x14ac:dyDescent="0.2">
      <c r="A13632" t="str">
        <f>"RHBG"</f>
        <v>RHBG</v>
      </c>
      <c r="B13632" t="s">
        <v>6</v>
      </c>
    </row>
    <row r="13633" spans="1:2" x14ac:dyDescent="0.2">
      <c r="A13633" t="str">
        <f>"RHCE"</f>
        <v>RHCE</v>
      </c>
      <c r="B13633" t="s">
        <v>5</v>
      </c>
    </row>
    <row r="13634" spans="1:2" x14ac:dyDescent="0.2">
      <c r="A13634" t="str">
        <f>"RHCG"</f>
        <v>RHCG</v>
      </c>
      <c r="B13634" t="s">
        <v>5</v>
      </c>
    </row>
    <row r="13635" spans="1:2" x14ac:dyDescent="0.2">
      <c r="A13635" t="str">
        <f>"RHD"</f>
        <v>RHD</v>
      </c>
      <c r="B13635" t="s">
        <v>5</v>
      </c>
    </row>
    <row r="13636" spans="1:2" x14ac:dyDescent="0.2">
      <c r="A13636" t="str">
        <f>"RHEB"</f>
        <v>RHEB</v>
      </c>
      <c r="B13636" t="s">
        <v>3</v>
      </c>
    </row>
    <row r="13637" spans="1:2" x14ac:dyDescent="0.2">
      <c r="A13637" t="str">
        <f>"RHEBL1"</f>
        <v>RHEBL1</v>
      </c>
      <c r="B13637" t="s">
        <v>6</v>
      </c>
    </row>
    <row r="13638" spans="1:2" x14ac:dyDescent="0.2">
      <c r="A13638" t="str">
        <f>"RHNO1"</f>
        <v>RHNO1</v>
      </c>
      <c r="B13638" t="s">
        <v>4</v>
      </c>
    </row>
    <row r="13639" spans="1:2" x14ac:dyDescent="0.2">
      <c r="A13639" t="str">
        <f>"RHO"</f>
        <v>RHO</v>
      </c>
      <c r="B13639" t="s">
        <v>3</v>
      </c>
    </row>
    <row r="13640" spans="1:2" x14ac:dyDescent="0.2">
      <c r="A13640" t="str">
        <f>"RHOA"</f>
        <v>RHOA</v>
      </c>
      <c r="B13640" t="s">
        <v>3</v>
      </c>
    </row>
    <row r="13641" spans="1:2" x14ac:dyDescent="0.2">
      <c r="A13641" t="str">
        <f>"RHOB"</f>
        <v>RHOB</v>
      </c>
      <c r="B13641" t="s">
        <v>3</v>
      </c>
    </row>
    <row r="13642" spans="1:2" x14ac:dyDescent="0.2">
      <c r="A13642" t="str">
        <f>"RHOBTB1"</f>
        <v>RHOBTB1</v>
      </c>
      <c r="B13642" t="s">
        <v>2</v>
      </c>
    </row>
    <row r="13643" spans="1:2" x14ac:dyDescent="0.2">
      <c r="A13643" t="str">
        <f>"RHOBTB2"</f>
        <v>RHOBTB2</v>
      </c>
      <c r="B13643" t="s">
        <v>2</v>
      </c>
    </row>
    <row r="13644" spans="1:2" x14ac:dyDescent="0.2">
      <c r="A13644" t="str">
        <f>"RHOBTB3"</f>
        <v>RHOBTB3</v>
      </c>
      <c r="B13644" t="s">
        <v>2</v>
      </c>
    </row>
    <row r="13645" spans="1:2" x14ac:dyDescent="0.2">
      <c r="A13645" t="str">
        <f>"RHOC"</f>
        <v>RHOC</v>
      </c>
      <c r="B13645" t="s">
        <v>3</v>
      </c>
    </row>
    <row r="13646" spans="1:2" x14ac:dyDescent="0.2">
      <c r="A13646" t="str">
        <f>"RHOD"</f>
        <v>RHOD</v>
      </c>
      <c r="B13646" t="s">
        <v>3</v>
      </c>
    </row>
    <row r="13647" spans="1:2" x14ac:dyDescent="0.2">
      <c r="A13647" t="str">
        <f>"RHOF"</f>
        <v>RHOF</v>
      </c>
      <c r="B13647" t="s">
        <v>6</v>
      </c>
    </row>
    <row r="13648" spans="1:2" x14ac:dyDescent="0.2">
      <c r="A13648" t="str">
        <f>"RHOG"</f>
        <v>RHOG</v>
      </c>
      <c r="B13648" t="s">
        <v>3</v>
      </c>
    </row>
    <row r="13649" spans="1:2" x14ac:dyDescent="0.2">
      <c r="A13649" t="str">
        <f>"RHOH"</f>
        <v>RHOH</v>
      </c>
      <c r="B13649" t="s">
        <v>3</v>
      </c>
    </row>
    <row r="13650" spans="1:2" x14ac:dyDescent="0.2">
      <c r="A13650" t="str">
        <f>"RHOJ"</f>
        <v>RHOJ</v>
      </c>
      <c r="B13650" t="s">
        <v>3</v>
      </c>
    </row>
    <row r="13651" spans="1:2" x14ac:dyDescent="0.2">
      <c r="A13651" t="str">
        <f>"RHOQ"</f>
        <v>RHOQ</v>
      </c>
      <c r="B13651" t="s">
        <v>2</v>
      </c>
    </row>
    <row r="13652" spans="1:2" x14ac:dyDescent="0.2">
      <c r="A13652" t="str">
        <f>"RHOT1"</f>
        <v>RHOT1</v>
      </c>
      <c r="B13652" t="s">
        <v>6</v>
      </c>
    </row>
    <row r="13653" spans="1:2" x14ac:dyDescent="0.2">
      <c r="A13653" t="str">
        <f>"RHOT2"</f>
        <v>RHOT2</v>
      </c>
      <c r="B13653" t="s">
        <v>6</v>
      </c>
    </row>
    <row r="13654" spans="1:2" x14ac:dyDescent="0.2">
      <c r="A13654" t="str">
        <f>"RHOU"</f>
        <v>RHOU</v>
      </c>
      <c r="B13654" t="s">
        <v>3</v>
      </c>
    </row>
    <row r="13655" spans="1:2" x14ac:dyDescent="0.2">
      <c r="A13655" t="str">
        <f>"RHOV"</f>
        <v>RHOV</v>
      </c>
      <c r="B13655" t="s">
        <v>6</v>
      </c>
    </row>
    <row r="13656" spans="1:2" x14ac:dyDescent="0.2">
      <c r="A13656" t="str">
        <f>"RHOXF1"</f>
        <v>RHOXF1</v>
      </c>
      <c r="B13656" t="s">
        <v>8</v>
      </c>
    </row>
    <row r="13657" spans="1:2" x14ac:dyDescent="0.2">
      <c r="A13657" t="str">
        <f>"RHOXF2"</f>
        <v>RHOXF2</v>
      </c>
      <c r="B13657" t="s">
        <v>8</v>
      </c>
    </row>
    <row r="13658" spans="1:2" x14ac:dyDescent="0.2">
      <c r="A13658" t="str">
        <f>"RHOXF2B"</f>
        <v>RHOXF2B</v>
      </c>
      <c r="B13658" t="s">
        <v>8</v>
      </c>
    </row>
    <row r="13659" spans="1:2" x14ac:dyDescent="0.2">
      <c r="A13659" t="str">
        <f>"RHPN1"</f>
        <v>RHPN1</v>
      </c>
      <c r="B13659" t="s">
        <v>2</v>
      </c>
    </row>
    <row r="13660" spans="1:2" x14ac:dyDescent="0.2">
      <c r="A13660" t="str">
        <f>"RHPN2"</f>
        <v>RHPN2</v>
      </c>
      <c r="B13660" t="s">
        <v>3</v>
      </c>
    </row>
    <row r="13661" spans="1:2" x14ac:dyDescent="0.2">
      <c r="A13661" t="str">
        <f>"RIBC1"</f>
        <v>RIBC1</v>
      </c>
      <c r="B13661" t="s">
        <v>4</v>
      </c>
    </row>
    <row r="13662" spans="1:2" x14ac:dyDescent="0.2">
      <c r="A13662" t="str">
        <f>"RIBC2"</f>
        <v>RIBC2</v>
      </c>
      <c r="B13662" t="s">
        <v>4</v>
      </c>
    </row>
    <row r="13663" spans="1:2" x14ac:dyDescent="0.2">
      <c r="A13663" t="str">
        <f>"RIC3"</f>
        <v>RIC3</v>
      </c>
      <c r="B13663" t="s">
        <v>6</v>
      </c>
    </row>
    <row r="13664" spans="1:2" x14ac:dyDescent="0.2">
      <c r="A13664" t="str">
        <f>"RIC8A"</f>
        <v>RIC8A</v>
      </c>
      <c r="B13664" t="s">
        <v>2</v>
      </c>
    </row>
    <row r="13665" spans="1:2" x14ac:dyDescent="0.2">
      <c r="A13665" t="str">
        <f>"RIC8B"</f>
        <v>RIC8B</v>
      </c>
      <c r="B13665" t="s">
        <v>6</v>
      </c>
    </row>
    <row r="13666" spans="1:2" x14ac:dyDescent="0.2">
      <c r="A13666" t="str">
        <f>"RICTOR"</f>
        <v>RICTOR</v>
      </c>
      <c r="B13666" t="s">
        <v>3</v>
      </c>
    </row>
    <row r="13667" spans="1:2" x14ac:dyDescent="0.2">
      <c r="A13667" t="str">
        <f>"RIF1"</f>
        <v>RIF1</v>
      </c>
      <c r="B13667" t="s">
        <v>3</v>
      </c>
    </row>
    <row r="13668" spans="1:2" x14ac:dyDescent="0.2">
      <c r="A13668" t="str">
        <f>"RIIAD1"</f>
        <v>RIIAD1</v>
      </c>
      <c r="B13668" t="s">
        <v>4</v>
      </c>
    </row>
    <row r="13669" spans="1:2" x14ac:dyDescent="0.2">
      <c r="A13669" t="str">
        <f>"RILP"</f>
        <v>RILP</v>
      </c>
      <c r="B13669" t="s">
        <v>2</v>
      </c>
    </row>
    <row r="13670" spans="1:2" x14ac:dyDescent="0.2">
      <c r="A13670" t="str">
        <f>"RILPL1"</f>
        <v>RILPL1</v>
      </c>
      <c r="B13670" t="s">
        <v>4</v>
      </c>
    </row>
    <row r="13671" spans="1:2" x14ac:dyDescent="0.2">
      <c r="A13671" t="str">
        <f>"RILPL2"</f>
        <v>RILPL2</v>
      </c>
      <c r="B13671" t="s">
        <v>4</v>
      </c>
    </row>
    <row r="13672" spans="1:2" x14ac:dyDescent="0.2">
      <c r="A13672" t="str">
        <f>"RIMBP2"</f>
        <v>RIMBP2</v>
      </c>
      <c r="B13672" t="s">
        <v>2</v>
      </c>
    </row>
    <row r="13673" spans="1:2" x14ac:dyDescent="0.2">
      <c r="A13673" t="str">
        <f>"RIMBP3"</f>
        <v>RIMBP3</v>
      </c>
      <c r="B13673" t="s">
        <v>4</v>
      </c>
    </row>
    <row r="13674" spans="1:2" x14ac:dyDescent="0.2">
      <c r="A13674" t="str">
        <f>"RIMBP3B"</f>
        <v>RIMBP3B</v>
      </c>
      <c r="B13674" t="s">
        <v>4</v>
      </c>
    </row>
    <row r="13675" spans="1:2" x14ac:dyDescent="0.2">
      <c r="A13675" t="str">
        <f>"RIMBP3C"</f>
        <v>RIMBP3C</v>
      </c>
      <c r="B13675" t="s">
        <v>4</v>
      </c>
    </row>
    <row r="13676" spans="1:2" x14ac:dyDescent="0.2">
      <c r="A13676" t="str">
        <f>"RIMKLA"</f>
        <v>RIMKLA</v>
      </c>
      <c r="B13676" t="s">
        <v>4</v>
      </c>
    </row>
    <row r="13677" spans="1:2" x14ac:dyDescent="0.2">
      <c r="A13677" t="str">
        <f>"RIMKLB"</f>
        <v>RIMKLB</v>
      </c>
      <c r="B13677" t="s">
        <v>4</v>
      </c>
    </row>
    <row r="13678" spans="1:2" x14ac:dyDescent="0.2">
      <c r="A13678" t="str">
        <f>"RIMS1"</f>
        <v>RIMS1</v>
      </c>
      <c r="B13678" t="s">
        <v>2</v>
      </c>
    </row>
    <row r="13679" spans="1:2" x14ac:dyDescent="0.2">
      <c r="A13679" t="str">
        <f>"RIMS2"</f>
        <v>RIMS2</v>
      </c>
      <c r="B13679" t="s">
        <v>3</v>
      </c>
    </row>
    <row r="13680" spans="1:2" x14ac:dyDescent="0.2">
      <c r="A13680" t="str">
        <f>"RIMS3"</f>
        <v>RIMS3</v>
      </c>
      <c r="B13680" t="s">
        <v>6</v>
      </c>
    </row>
    <row r="13681" spans="1:2" x14ac:dyDescent="0.2">
      <c r="A13681" t="str">
        <f>"RIMS4"</f>
        <v>RIMS4</v>
      </c>
      <c r="B13681" t="s">
        <v>6</v>
      </c>
    </row>
    <row r="13682" spans="1:2" x14ac:dyDescent="0.2">
      <c r="A13682" t="str">
        <f>"RIN1"</f>
        <v>RIN1</v>
      </c>
      <c r="B13682" t="s">
        <v>6</v>
      </c>
    </row>
    <row r="13683" spans="1:2" x14ac:dyDescent="0.2">
      <c r="A13683" t="str">
        <f>"RIN2"</f>
        <v>RIN2</v>
      </c>
      <c r="B13683" t="s">
        <v>6</v>
      </c>
    </row>
    <row r="13684" spans="1:2" x14ac:dyDescent="0.2">
      <c r="A13684" t="str">
        <f>"RIN3"</f>
        <v>RIN3</v>
      </c>
      <c r="B13684" t="s">
        <v>6</v>
      </c>
    </row>
    <row r="13685" spans="1:2" x14ac:dyDescent="0.2">
      <c r="A13685" t="str">
        <f>"RING1"</f>
        <v>RING1</v>
      </c>
      <c r="B13685" t="s">
        <v>2</v>
      </c>
    </row>
    <row r="13686" spans="1:2" x14ac:dyDescent="0.2">
      <c r="A13686" t="str">
        <f>"RINL"</f>
        <v>RINL</v>
      </c>
      <c r="B13686" t="s">
        <v>6</v>
      </c>
    </row>
    <row r="13687" spans="1:2" x14ac:dyDescent="0.2">
      <c r="A13687" t="str">
        <f>"RINT1"</f>
        <v>RINT1</v>
      </c>
      <c r="B13687" t="s">
        <v>3</v>
      </c>
    </row>
    <row r="13688" spans="1:2" x14ac:dyDescent="0.2">
      <c r="A13688" t="str">
        <f>"RIOK1"</f>
        <v>RIOK1</v>
      </c>
      <c r="B13688" t="s">
        <v>7</v>
      </c>
    </row>
    <row r="13689" spans="1:2" x14ac:dyDescent="0.2">
      <c r="A13689" t="str">
        <f>"RIOK2"</f>
        <v>RIOK2</v>
      </c>
      <c r="B13689" t="s">
        <v>7</v>
      </c>
    </row>
    <row r="13690" spans="1:2" x14ac:dyDescent="0.2">
      <c r="A13690" t="str">
        <f>"RIOK3"</f>
        <v>RIOK3</v>
      </c>
      <c r="B13690" t="s">
        <v>7</v>
      </c>
    </row>
    <row r="13691" spans="1:2" x14ac:dyDescent="0.2">
      <c r="A13691" t="str">
        <f>"RIPK1"</f>
        <v>RIPK1</v>
      </c>
      <c r="B13691" t="s">
        <v>7</v>
      </c>
    </row>
    <row r="13692" spans="1:2" x14ac:dyDescent="0.2">
      <c r="A13692" t="str">
        <f>"RIPK2"</f>
        <v>RIPK2</v>
      </c>
      <c r="B13692" t="s">
        <v>7</v>
      </c>
    </row>
    <row r="13693" spans="1:2" x14ac:dyDescent="0.2">
      <c r="A13693" t="str">
        <f>"RIPK3"</f>
        <v>RIPK3</v>
      </c>
      <c r="B13693" t="s">
        <v>7</v>
      </c>
    </row>
    <row r="13694" spans="1:2" x14ac:dyDescent="0.2">
      <c r="A13694" t="str">
        <f>"RIPK4"</f>
        <v>RIPK4</v>
      </c>
      <c r="B13694" t="s">
        <v>7</v>
      </c>
    </row>
    <row r="13695" spans="1:2" x14ac:dyDescent="0.2">
      <c r="A13695" t="str">
        <f>"RIPPLY1"</f>
        <v>RIPPLY1</v>
      </c>
      <c r="B13695" t="s">
        <v>8</v>
      </c>
    </row>
    <row r="13696" spans="1:2" x14ac:dyDescent="0.2">
      <c r="A13696" t="str">
        <f>"RIPPLY2"</f>
        <v>RIPPLY2</v>
      </c>
      <c r="B13696" t="s">
        <v>3</v>
      </c>
    </row>
    <row r="13697" spans="1:2" x14ac:dyDescent="0.2">
      <c r="A13697" t="str">
        <f>"RIPPLY3"</f>
        <v>RIPPLY3</v>
      </c>
      <c r="B13697" t="s">
        <v>4</v>
      </c>
    </row>
    <row r="13698" spans="1:2" x14ac:dyDescent="0.2">
      <c r="A13698" t="str">
        <f>"RIT1"</f>
        <v>RIT1</v>
      </c>
      <c r="B13698" t="s">
        <v>6</v>
      </c>
    </row>
    <row r="13699" spans="1:2" x14ac:dyDescent="0.2">
      <c r="A13699" t="str">
        <f>"RIT2"</f>
        <v>RIT2</v>
      </c>
      <c r="B13699" t="s">
        <v>3</v>
      </c>
    </row>
    <row r="13700" spans="1:2" x14ac:dyDescent="0.2">
      <c r="A13700" t="str">
        <f>"RLBP1"</f>
        <v>RLBP1</v>
      </c>
      <c r="B13700" t="s">
        <v>7</v>
      </c>
    </row>
    <row r="13701" spans="1:2" x14ac:dyDescent="0.2">
      <c r="A13701" t="str">
        <f>"RLF"</f>
        <v>RLF</v>
      </c>
      <c r="B13701" t="s">
        <v>8</v>
      </c>
    </row>
    <row r="13702" spans="1:2" x14ac:dyDescent="0.2">
      <c r="A13702" t="str">
        <f>"RLIM"</f>
        <v>RLIM</v>
      </c>
      <c r="B13702" t="s">
        <v>2</v>
      </c>
    </row>
    <row r="13703" spans="1:2" x14ac:dyDescent="0.2">
      <c r="A13703" t="str">
        <f>"RLN1"</f>
        <v>RLN1</v>
      </c>
      <c r="B13703" t="s">
        <v>4</v>
      </c>
    </row>
    <row r="13704" spans="1:2" x14ac:dyDescent="0.2">
      <c r="A13704" t="str">
        <f>"RLN2"</f>
        <v>RLN2</v>
      </c>
      <c r="B13704" t="s">
        <v>3</v>
      </c>
    </row>
    <row r="13705" spans="1:2" x14ac:dyDescent="0.2">
      <c r="A13705" t="str">
        <f>"RLN3"</f>
        <v>RLN3</v>
      </c>
      <c r="B13705" t="s">
        <v>4</v>
      </c>
    </row>
    <row r="13706" spans="1:2" x14ac:dyDescent="0.2">
      <c r="A13706" t="str">
        <f>"RLTPR"</f>
        <v>RLTPR</v>
      </c>
      <c r="B13706" t="s">
        <v>3</v>
      </c>
    </row>
    <row r="13707" spans="1:2" x14ac:dyDescent="0.2">
      <c r="A13707" t="str">
        <f>"RMDN1"</f>
        <v>RMDN1</v>
      </c>
      <c r="B13707" t="s">
        <v>6</v>
      </c>
    </row>
    <row r="13708" spans="1:2" x14ac:dyDescent="0.2">
      <c r="A13708" t="str">
        <f>"RMDN2"</f>
        <v>RMDN2</v>
      </c>
      <c r="B13708" t="s">
        <v>5</v>
      </c>
    </row>
    <row r="13709" spans="1:2" x14ac:dyDescent="0.2">
      <c r="A13709" t="str">
        <f>"RMDN3"</f>
        <v>RMDN3</v>
      </c>
      <c r="B13709" t="s">
        <v>6</v>
      </c>
    </row>
    <row r="13710" spans="1:2" x14ac:dyDescent="0.2">
      <c r="A13710" t="str">
        <f>"RMI1"</f>
        <v>RMI1</v>
      </c>
      <c r="B13710" t="s">
        <v>4</v>
      </c>
    </row>
    <row r="13711" spans="1:2" x14ac:dyDescent="0.2">
      <c r="A13711" t="str">
        <f>"RMI2"</f>
        <v>RMI2</v>
      </c>
      <c r="B13711" t="s">
        <v>8</v>
      </c>
    </row>
    <row r="13712" spans="1:2" x14ac:dyDescent="0.2">
      <c r="A13712" t="str">
        <f>"RMND1"</f>
        <v>RMND1</v>
      </c>
      <c r="B13712" t="s">
        <v>6</v>
      </c>
    </row>
    <row r="13713" spans="1:2" x14ac:dyDescent="0.2">
      <c r="A13713" t="str">
        <f>"RMND5A"</f>
        <v>RMND5A</v>
      </c>
      <c r="B13713" t="s">
        <v>4</v>
      </c>
    </row>
    <row r="13714" spans="1:2" x14ac:dyDescent="0.2">
      <c r="A13714" t="str">
        <f>"RMND5B"</f>
        <v>RMND5B</v>
      </c>
      <c r="B13714" t="s">
        <v>4</v>
      </c>
    </row>
    <row r="13715" spans="1:2" x14ac:dyDescent="0.2">
      <c r="A13715" t="str">
        <f>"RNASE1"</f>
        <v>RNASE1</v>
      </c>
      <c r="B13715" t="s">
        <v>3</v>
      </c>
    </row>
    <row r="13716" spans="1:2" x14ac:dyDescent="0.2">
      <c r="A13716" t="str">
        <f>"RNASE10"</f>
        <v>RNASE10</v>
      </c>
      <c r="B13716" t="s">
        <v>4</v>
      </c>
    </row>
    <row r="13717" spans="1:2" x14ac:dyDescent="0.2">
      <c r="A13717" t="str">
        <f>"RNASE11"</f>
        <v>RNASE11</v>
      </c>
      <c r="B13717" t="s">
        <v>4</v>
      </c>
    </row>
    <row r="13718" spans="1:2" x14ac:dyDescent="0.2">
      <c r="A13718" t="str">
        <f>"RNASE12"</f>
        <v>RNASE12</v>
      </c>
      <c r="B13718" t="s">
        <v>4</v>
      </c>
    </row>
    <row r="13719" spans="1:2" x14ac:dyDescent="0.2">
      <c r="A13719" t="str">
        <f>"RNASE13"</f>
        <v>RNASE13</v>
      </c>
      <c r="B13719" t="s">
        <v>4</v>
      </c>
    </row>
    <row r="13720" spans="1:2" x14ac:dyDescent="0.2">
      <c r="A13720" t="str">
        <f>"RNASE2"</f>
        <v>RNASE2</v>
      </c>
      <c r="B13720" t="s">
        <v>7</v>
      </c>
    </row>
    <row r="13721" spans="1:2" x14ac:dyDescent="0.2">
      <c r="A13721" t="str">
        <f>"RNASE3"</f>
        <v>RNASE3</v>
      </c>
      <c r="B13721" t="s">
        <v>7</v>
      </c>
    </row>
    <row r="13722" spans="1:2" x14ac:dyDescent="0.2">
      <c r="A13722" t="str">
        <f>"RNASE4"</f>
        <v>RNASE4</v>
      </c>
      <c r="B13722" t="s">
        <v>7</v>
      </c>
    </row>
    <row r="13723" spans="1:2" x14ac:dyDescent="0.2">
      <c r="A13723" t="str">
        <f>"RNASE6"</f>
        <v>RNASE6</v>
      </c>
      <c r="B13723" t="s">
        <v>8</v>
      </c>
    </row>
    <row r="13724" spans="1:2" x14ac:dyDescent="0.2">
      <c r="A13724" t="str">
        <f>"RNASE7"</f>
        <v>RNASE7</v>
      </c>
      <c r="B13724" t="s">
        <v>4</v>
      </c>
    </row>
    <row r="13725" spans="1:2" x14ac:dyDescent="0.2">
      <c r="A13725" t="str">
        <f>"RNASE8"</f>
        <v>RNASE8</v>
      </c>
      <c r="B13725" t="s">
        <v>4</v>
      </c>
    </row>
    <row r="13726" spans="1:2" x14ac:dyDescent="0.2">
      <c r="A13726" t="str">
        <f>"RNASE9"</f>
        <v>RNASE9</v>
      </c>
      <c r="B13726" t="s">
        <v>4</v>
      </c>
    </row>
    <row r="13727" spans="1:2" x14ac:dyDescent="0.2">
      <c r="A13727" t="str">
        <f>"RNASEH1"</f>
        <v>RNASEH1</v>
      </c>
      <c r="B13727" t="s">
        <v>6</v>
      </c>
    </row>
    <row r="13728" spans="1:2" x14ac:dyDescent="0.2">
      <c r="A13728" t="str">
        <f>"RNASEH2A"</f>
        <v>RNASEH2A</v>
      </c>
      <c r="B13728" t="s">
        <v>8</v>
      </c>
    </row>
    <row r="13729" spans="1:2" x14ac:dyDescent="0.2">
      <c r="A13729" t="str">
        <f>"RNASEH2B"</f>
        <v>RNASEH2B</v>
      </c>
      <c r="B13729" t="s">
        <v>4</v>
      </c>
    </row>
    <row r="13730" spans="1:2" x14ac:dyDescent="0.2">
      <c r="A13730" t="str">
        <f>"RNASEH2C"</f>
        <v>RNASEH2C</v>
      </c>
      <c r="B13730" t="s">
        <v>4</v>
      </c>
    </row>
    <row r="13731" spans="1:2" x14ac:dyDescent="0.2">
      <c r="A13731" t="str">
        <f>"RNASEK"</f>
        <v>RNASEK</v>
      </c>
      <c r="B13731" t="s">
        <v>2</v>
      </c>
    </row>
    <row r="13732" spans="1:2" x14ac:dyDescent="0.2">
      <c r="A13732" t="str">
        <f>"RNASEL"</f>
        <v>RNASEL</v>
      </c>
      <c r="B13732" t="s">
        <v>7</v>
      </c>
    </row>
    <row r="13733" spans="1:2" x14ac:dyDescent="0.2">
      <c r="A13733" t="str">
        <f>"RNASET2"</f>
        <v>RNASET2</v>
      </c>
      <c r="B13733" t="s">
        <v>6</v>
      </c>
    </row>
    <row r="13734" spans="1:2" x14ac:dyDescent="0.2">
      <c r="A13734" t="str">
        <f>"RND1"</f>
        <v>RND1</v>
      </c>
      <c r="B13734" t="s">
        <v>6</v>
      </c>
    </row>
    <row r="13735" spans="1:2" x14ac:dyDescent="0.2">
      <c r="A13735" t="str">
        <f>"RND2"</f>
        <v>RND2</v>
      </c>
      <c r="B13735" t="s">
        <v>6</v>
      </c>
    </row>
    <row r="13736" spans="1:2" x14ac:dyDescent="0.2">
      <c r="A13736" t="str">
        <f>"RND3"</f>
        <v>RND3</v>
      </c>
      <c r="B13736" t="s">
        <v>3</v>
      </c>
    </row>
    <row r="13737" spans="1:2" x14ac:dyDescent="0.2">
      <c r="A13737" t="str">
        <f>"RNF10"</f>
        <v>RNF10</v>
      </c>
      <c r="B13737" t="s">
        <v>2</v>
      </c>
    </row>
    <row r="13738" spans="1:2" x14ac:dyDescent="0.2">
      <c r="A13738" t="str">
        <f>"RNF103"</f>
        <v>RNF103</v>
      </c>
      <c r="B13738" t="s">
        <v>2</v>
      </c>
    </row>
    <row r="13739" spans="1:2" x14ac:dyDescent="0.2">
      <c r="A13739" t="str">
        <f>"RNF103-CHMP3"</f>
        <v>RNF103-CHMP3</v>
      </c>
      <c r="B13739" t="s">
        <v>4</v>
      </c>
    </row>
    <row r="13740" spans="1:2" x14ac:dyDescent="0.2">
      <c r="A13740" t="str">
        <f>"RNF11"</f>
        <v>RNF11</v>
      </c>
      <c r="B13740" t="s">
        <v>2</v>
      </c>
    </row>
    <row r="13741" spans="1:2" x14ac:dyDescent="0.2">
      <c r="A13741" t="str">
        <f>"RNF111"</f>
        <v>RNF111</v>
      </c>
      <c r="B13741" t="s">
        <v>2</v>
      </c>
    </row>
    <row r="13742" spans="1:2" x14ac:dyDescent="0.2">
      <c r="A13742" t="str">
        <f>"RNF112"</f>
        <v>RNF112</v>
      </c>
      <c r="B13742" t="s">
        <v>2</v>
      </c>
    </row>
    <row r="13743" spans="1:2" x14ac:dyDescent="0.2">
      <c r="A13743" t="str">
        <f>"RNF113A"</f>
        <v>RNF113A</v>
      </c>
      <c r="B13743" t="s">
        <v>2</v>
      </c>
    </row>
    <row r="13744" spans="1:2" x14ac:dyDescent="0.2">
      <c r="A13744" t="str">
        <f>"RNF113B"</f>
        <v>RNF113B</v>
      </c>
      <c r="B13744" t="s">
        <v>2</v>
      </c>
    </row>
    <row r="13745" spans="1:2" x14ac:dyDescent="0.2">
      <c r="A13745" t="str">
        <f>"RNF114"</f>
        <v>RNF114</v>
      </c>
      <c r="B13745" t="s">
        <v>2</v>
      </c>
    </row>
    <row r="13746" spans="1:2" x14ac:dyDescent="0.2">
      <c r="A13746" t="str">
        <f>"RNF115"</f>
        <v>RNF115</v>
      </c>
      <c r="B13746" t="s">
        <v>2</v>
      </c>
    </row>
    <row r="13747" spans="1:2" x14ac:dyDescent="0.2">
      <c r="A13747" t="str">
        <f>"RNF121"</f>
        <v>RNF121</v>
      </c>
      <c r="B13747" t="s">
        <v>2</v>
      </c>
    </row>
    <row r="13748" spans="1:2" x14ac:dyDescent="0.2">
      <c r="A13748" t="str">
        <f>"RNF122"</f>
        <v>RNF122</v>
      </c>
      <c r="B13748" t="s">
        <v>2</v>
      </c>
    </row>
    <row r="13749" spans="1:2" x14ac:dyDescent="0.2">
      <c r="A13749" t="str">
        <f>"RNF123"</f>
        <v>RNF123</v>
      </c>
      <c r="B13749" t="s">
        <v>2</v>
      </c>
    </row>
    <row r="13750" spans="1:2" x14ac:dyDescent="0.2">
      <c r="A13750" t="str">
        <f>"RNF125"</f>
        <v>RNF125</v>
      </c>
      <c r="B13750" t="s">
        <v>2</v>
      </c>
    </row>
    <row r="13751" spans="1:2" x14ac:dyDescent="0.2">
      <c r="A13751" t="str">
        <f>"RNF126"</f>
        <v>RNF126</v>
      </c>
      <c r="B13751" t="s">
        <v>2</v>
      </c>
    </row>
    <row r="13752" spans="1:2" x14ac:dyDescent="0.2">
      <c r="A13752" t="str">
        <f>"RNF128"</f>
        <v>RNF128</v>
      </c>
      <c r="B13752" t="s">
        <v>2</v>
      </c>
    </row>
    <row r="13753" spans="1:2" x14ac:dyDescent="0.2">
      <c r="A13753" t="str">
        <f>"RNF13"</f>
        <v>RNF13</v>
      </c>
      <c r="B13753" t="s">
        <v>2</v>
      </c>
    </row>
    <row r="13754" spans="1:2" x14ac:dyDescent="0.2">
      <c r="A13754" t="str">
        <f>"RNF130"</f>
        <v>RNF130</v>
      </c>
      <c r="B13754" t="s">
        <v>2</v>
      </c>
    </row>
    <row r="13755" spans="1:2" x14ac:dyDescent="0.2">
      <c r="A13755" t="str">
        <f>"RNF133"</f>
        <v>RNF133</v>
      </c>
      <c r="B13755" t="s">
        <v>2</v>
      </c>
    </row>
    <row r="13756" spans="1:2" x14ac:dyDescent="0.2">
      <c r="A13756" t="str">
        <f>"RNF135"</f>
        <v>RNF135</v>
      </c>
      <c r="B13756" t="s">
        <v>2</v>
      </c>
    </row>
    <row r="13757" spans="1:2" x14ac:dyDescent="0.2">
      <c r="A13757" t="str">
        <f>"RNF138"</f>
        <v>RNF138</v>
      </c>
      <c r="B13757" t="s">
        <v>2</v>
      </c>
    </row>
    <row r="13758" spans="1:2" x14ac:dyDescent="0.2">
      <c r="A13758" t="str">
        <f>"RNF139"</f>
        <v>RNF139</v>
      </c>
      <c r="B13758" t="s">
        <v>2</v>
      </c>
    </row>
    <row r="13759" spans="1:2" x14ac:dyDescent="0.2">
      <c r="A13759" t="str">
        <f>"RNF14"</f>
        <v>RNF14</v>
      </c>
      <c r="B13759" t="s">
        <v>2</v>
      </c>
    </row>
    <row r="13760" spans="1:2" x14ac:dyDescent="0.2">
      <c r="A13760" t="str">
        <f>"RNF141"</f>
        <v>RNF141</v>
      </c>
      <c r="B13760" t="s">
        <v>2</v>
      </c>
    </row>
    <row r="13761" spans="1:2" x14ac:dyDescent="0.2">
      <c r="A13761" t="str">
        <f>"RNF144A"</f>
        <v>RNF144A</v>
      </c>
      <c r="B13761" t="s">
        <v>2</v>
      </c>
    </row>
    <row r="13762" spans="1:2" x14ac:dyDescent="0.2">
      <c r="A13762" t="str">
        <f>"RNF144B"</f>
        <v>RNF144B</v>
      </c>
      <c r="B13762" t="s">
        <v>2</v>
      </c>
    </row>
    <row r="13763" spans="1:2" x14ac:dyDescent="0.2">
      <c r="A13763" t="str">
        <f>"RNF145"</f>
        <v>RNF145</v>
      </c>
      <c r="B13763" t="s">
        <v>2</v>
      </c>
    </row>
    <row r="13764" spans="1:2" x14ac:dyDescent="0.2">
      <c r="A13764" t="str">
        <f>"RNF146"</f>
        <v>RNF146</v>
      </c>
      <c r="B13764" t="s">
        <v>2</v>
      </c>
    </row>
    <row r="13765" spans="1:2" x14ac:dyDescent="0.2">
      <c r="A13765" t="str">
        <f>"RNF148"</f>
        <v>RNF148</v>
      </c>
      <c r="B13765" t="s">
        <v>2</v>
      </c>
    </row>
    <row r="13766" spans="1:2" x14ac:dyDescent="0.2">
      <c r="A13766" t="str">
        <f>"RNF149"</f>
        <v>RNF149</v>
      </c>
      <c r="B13766" t="s">
        <v>2</v>
      </c>
    </row>
    <row r="13767" spans="1:2" x14ac:dyDescent="0.2">
      <c r="A13767" t="str">
        <f>"RNF150"</f>
        <v>RNF150</v>
      </c>
      <c r="B13767" t="s">
        <v>2</v>
      </c>
    </row>
    <row r="13768" spans="1:2" x14ac:dyDescent="0.2">
      <c r="A13768" t="str">
        <f>"RNF151"</f>
        <v>RNF151</v>
      </c>
      <c r="B13768" t="s">
        <v>2</v>
      </c>
    </row>
    <row r="13769" spans="1:2" x14ac:dyDescent="0.2">
      <c r="A13769" t="str">
        <f>"RNF152"</f>
        <v>RNF152</v>
      </c>
      <c r="B13769" t="s">
        <v>2</v>
      </c>
    </row>
    <row r="13770" spans="1:2" x14ac:dyDescent="0.2">
      <c r="A13770" t="str">
        <f>"RNF157"</f>
        <v>RNF157</v>
      </c>
      <c r="B13770" t="s">
        <v>2</v>
      </c>
    </row>
    <row r="13771" spans="1:2" x14ac:dyDescent="0.2">
      <c r="A13771" t="str">
        <f>"RNF165"</f>
        <v>RNF165</v>
      </c>
      <c r="B13771" t="s">
        <v>2</v>
      </c>
    </row>
    <row r="13772" spans="1:2" x14ac:dyDescent="0.2">
      <c r="A13772" t="str">
        <f>"RNF166"</f>
        <v>RNF166</v>
      </c>
      <c r="B13772" t="s">
        <v>2</v>
      </c>
    </row>
    <row r="13773" spans="1:2" x14ac:dyDescent="0.2">
      <c r="A13773" t="str">
        <f>"RNF167"</f>
        <v>RNF167</v>
      </c>
      <c r="B13773" t="s">
        <v>2</v>
      </c>
    </row>
    <row r="13774" spans="1:2" x14ac:dyDescent="0.2">
      <c r="A13774" t="str">
        <f>"RNF168"</f>
        <v>RNF168</v>
      </c>
      <c r="B13774" t="s">
        <v>2</v>
      </c>
    </row>
    <row r="13775" spans="1:2" x14ac:dyDescent="0.2">
      <c r="A13775" t="str">
        <f>"RNF169"</f>
        <v>RNF169</v>
      </c>
      <c r="B13775" t="s">
        <v>2</v>
      </c>
    </row>
    <row r="13776" spans="1:2" x14ac:dyDescent="0.2">
      <c r="A13776" t="str">
        <f>"RNF17"</f>
        <v>RNF17</v>
      </c>
      <c r="B13776" t="s">
        <v>2</v>
      </c>
    </row>
    <row r="13777" spans="1:2" x14ac:dyDescent="0.2">
      <c r="A13777" t="str">
        <f>"RNF170"</f>
        <v>RNF170</v>
      </c>
      <c r="B13777" t="s">
        <v>2</v>
      </c>
    </row>
    <row r="13778" spans="1:2" x14ac:dyDescent="0.2">
      <c r="A13778" t="str">
        <f>"RNF175"</f>
        <v>RNF175</v>
      </c>
      <c r="B13778" t="s">
        <v>2</v>
      </c>
    </row>
    <row r="13779" spans="1:2" x14ac:dyDescent="0.2">
      <c r="A13779" t="str">
        <f>"RNF180"</f>
        <v>RNF180</v>
      </c>
      <c r="B13779" t="s">
        <v>2</v>
      </c>
    </row>
    <row r="13780" spans="1:2" x14ac:dyDescent="0.2">
      <c r="A13780" t="str">
        <f>"RNF181"</f>
        <v>RNF181</v>
      </c>
      <c r="B13780" t="s">
        <v>2</v>
      </c>
    </row>
    <row r="13781" spans="1:2" x14ac:dyDescent="0.2">
      <c r="A13781" t="str">
        <f>"RNF182"</f>
        <v>RNF182</v>
      </c>
      <c r="B13781" t="s">
        <v>2</v>
      </c>
    </row>
    <row r="13782" spans="1:2" x14ac:dyDescent="0.2">
      <c r="A13782" t="str">
        <f>"RNF183"</f>
        <v>RNF183</v>
      </c>
      <c r="B13782" t="s">
        <v>2</v>
      </c>
    </row>
    <row r="13783" spans="1:2" x14ac:dyDescent="0.2">
      <c r="A13783" t="str">
        <f>"RNF185"</f>
        <v>RNF185</v>
      </c>
      <c r="B13783" t="s">
        <v>2</v>
      </c>
    </row>
    <row r="13784" spans="1:2" x14ac:dyDescent="0.2">
      <c r="A13784" t="str">
        <f>"RNF186"</f>
        <v>RNF186</v>
      </c>
      <c r="B13784" t="s">
        <v>2</v>
      </c>
    </row>
    <row r="13785" spans="1:2" x14ac:dyDescent="0.2">
      <c r="A13785" t="str">
        <f>"RNF187"</f>
        <v>RNF187</v>
      </c>
      <c r="B13785" t="s">
        <v>2</v>
      </c>
    </row>
    <row r="13786" spans="1:2" x14ac:dyDescent="0.2">
      <c r="A13786" t="str">
        <f>"RNF19A"</f>
        <v>RNF19A</v>
      </c>
      <c r="B13786" t="s">
        <v>3</v>
      </c>
    </row>
    <row r="13787" spans="1:2" x14ac:dyDescent="0.2">
      <c r="A13787" t="str">
        <f>"RNF19B"</f>
        <v>RNF19B</v>
      </c>
      <c r="B13787" t="s">
        <v>2</v>
      </c>
    </row>
    <row r="13788" spans="1:2" x14ac:dyDescent="0.2">
      <c r="A13788" t="str">
        <f>"RNF2"</f>
        <v>RNF2</v>
      </c>
      <c r="B13788" t="s">
        <v>3</v>
      </c>
    </row>
    <row r="13789" spans="1:2" x14ac:dyDescent="0.2">
      <c r="A13789" t="str">
        <f>"RNF20"</f>
        <v>RNF20</v>
      </c>
      <c r="B13789" t="s">
        <v>3</v>
      </c>
    </row>
    <row r="13790" spans="1:2" x14ac:dyDescent="0.2">
      <c r="A13790" t="str">
        <f>"RNF207"</f>
        <v>RNF207</v>
      </c>
      <c r="B13790" t="s">
        <v>2</v>
      </c>
    </row>
    <row r="13791" spans="1:2" x14ac:dyDescent="0.2">
      <c r="A13791" t="str">
        <f>"RNF208"</f>
        <v>RNF208</v>
      </c>
      <c r="B13791" t="s">
        <v>2</v>
      </c>
    </row>
    <row r="13792" spans="1:2" x14ac:dyDescent="0.2">
      <c r="A13792" t="str">
        <f>"RNF212"</f>
        <v>RNF212</v>
      </c>
      <c r="B13792" t="s">
        <v>2</v>
      </c>
    </row>
    <row r="13793" spans="1:2" x14ac:dyDescent="0.2">
      <c r="A13793" t="str">
        <f>"RNF213"</f>
        <v>RNF213</v>
      </c>
      <c r="B13793" t="s">
        <v>3</v>
      </c>
    </row>
    <row r="13794" spans="1:2" x14ac:dyDescent="0.2">
      <c r="A13794" t="str">
        <f>"RNF214"</f>
        <v>RNF214</v>
      </c>
      <c r="B13794" t="s">
        <v>2</v>
      </c>
    </row>
    <row r="13795" spans="1:2" x14ac:dyDescent="0.2">
      <c r="A13795" t="str">
        <f>"RNF215"</f>
        <v>RNF215</v>
      </c>
      <c r="B13795" t="s">
        <v>2</v>
      </c>
    </row>
    <row r="13796" spans="1:2" x14ac:dyDescent="0.2">
      <c r="A13796" t="str">
        <f>"RNF216"</f>
        <v>RNF216</v>
      </c>
      <c r="B13796" t="s">
        <v>2</v>
      </c>
    </row>
    <row r="13797" spans="1:2" x14ac:dyDescent="0.2">
      <c r="A13797" t="str">
        <f>"RNF217"</f>
        <v>RNF217</v>
      </c>
      <c r="B13797" t="s">
        <v>2</v>
      </c>
    </row>
    <row r="13798" spans="1:2" x14ac:dyDescent="0.2">
      <c r="A13798" t="str">
        <f>"RNF219"</f>
        <v>RNF219</v>
      </c>
      <c r="B13798" t="s">
        <v>2</v>
      </c>
    </row>
    <row r="13799" spans="1:2" x14ac:dyDescent="0.2">
      <c r="A13799" t="str">
        <f>"RNF220"</f>
        <v>RNF220</v>
      </c>
      <c r="B13799" t="s">
        <v>2</v>
      </c>
    </row>
    <row r="13800" spans="1:2" x14ac:dyDescent="0.2">
      <c r="A13800" t="str">
        <f>"RNF222"</f>
        <v>RNF222</v>
      </c>
      <c r="B13800" t="s">
        <v>2</v>
      </c>
    </row>
    <row r="13801" spans="1:2" x14ac:dyDescent="0.2">
      <c r="A13801" t="str">
        <f>"RNF223"</f>
        <v>RNF223</v>
      </c>
      <c r="B13801" t="s">
        <v>4</v>
      </c>
    </row>
    <row r="13802" spans="1:2" x14ac:dyDescent="0.2">
      <c r="A13802" t="str">
        <f>"RNF224"</f>
        <v>RNF224</v>
      </c>
      <c r="B13802" t="s">
        <v>4</v>
      </c>
    </row>
    <row r="13803" spans="1:2" x14ac:dyDescent="0.2">
      <c r="A13803" t="str">
        <f>"RNF24"</f>
        <v>RNF24</v>
      </c>
      <c r="B13803" t="s">
        <v>2</v>
      </c>
    </row>
    <row r="13804" spans="1:2" x14ac:dyDescent="0.2">
      <c r="A13804" t="str">
        <f>"RNF25"</f>
        <v>RNF25</v>
      </c>
      <c r="B13804" t="s">
        <v>2</v>
      </c>
    </row>
    <row r="13805" spans="1:2" x14ac:dyDescent="0.2">
      <c r="A13805" t="str">
        <f>"RNF26"</f>
        <v>RNF26</v>
      </c>
      <c r="B13805" t="s">
        <v>2</v>
      </c>
    </row>
    <row r="13806" spans="1:2" x14ac:dyDescent="0.2">
      <c r="A13806" t="str">
        <f>"RNF31"</f>
        <v>RNF31</v>
      </c>
      <c r="B13806" t="s">
        <v>2</v>
      </c>
    </row>
    <row r="13807" spans="1:2" x14ac:dyDescent="0.2">
      <c r="A13807" t="str">
        <f>"RNF32"</f>
        <v>RNF32</v>
      </c>
      <c r="B13807" t="s">
        <v>2</v>
      </c>
    </row>
    <row r="13808" spans="1:2" x14ac:dyDescent="0.2">
      <c r="A13808" t="str">
        <f>"RNF34"</f>
        <v>RNF34</v>
      </c>
      <c r="B13808" t="s">
        <v>2</v>
      </c>
    </row>
    <row r="13809" spans="1:2" x14ac:dyDescent="0.2">
      <c r="A13809" t="str">
        <f>"RNF38"</f>
        <v>RNF38</v>
      </c>
      <c r="B13809" t="s">
        <v>2</v>
      </c>
    </row>
    <row r="13810" spans="1:2" x14ac:dyDescent="0.2">
      <c r="A13810" t="str">
        <f>"RNF39"</f>
        <v>RNF39</v>
      </c>
      <c r="B13810" t="s">
        <v>2</v>
      </c>
    </row>
    <row r="13811" spans="1:2" x14ac:dyDescent="0.2">
      <c r="A13811" t="str">
        <f>"RNF4"</f>
        <v>RNF4</v>
      </c>
      <c r="B13811" t="s">
        <v>2</v>
      </c>
    </row>
    <row r="13812" spans="1:2" x14ac:dyDescent="0.2">
      <c r="A13812" t="str">
        <f>"RNF40"</f>
        <v>RNF40</v>
      </c>
      <c r="B13812" t="s">
        <v>2</v>
      </c>
    </row>
    <row r="13813" spans="1:2" x14ac:dyDescent="0.2">
      <c r="A13813" t="str">
        <f>"RNF41"</f>
        <v>RNF41</v>
      </c>
      <c r="B13813" t="s">
        <v>2</v>
      </c>
    </row>
    <row r="13814" spans="1:2" x14ac:dyDescent="0.2">
      <c r="A13814" t="str">
        <f>"RNF43"</f>
        <v>RNF43</v>
      </c>
      <c r="B13814" t="s">
        <v>2</v>
      </c>
    </row>
    <row r="13815" spans="1:2" x14ac:dyDescent="0.2">
      <c r="A13815" t="str">
        <f>"RNF44"</f>
        <v>RNF44</v>
      </c>
      <c r="B13815" t="s">
        <v>2</v>
      </c>
    </row>
    <row r="13816" spans="1:2" x14ac:dyDescent="0.2">
      <c r="A13816" t="str">
        <f>"RNF5"</f>
        <v>RNF5</v>
      </c>
      <c r="B13816" t="s">
        <v>2</v>
      </c>
    </row>
    <row r="13817" spans="1:2" x14ac:dyDescent="0.2">
      <c r="A13817" t="str">
        <f>"RNF6"</f>
        <v>RNF6</v>
      </c>
      <c r="B13817" t="s">
        <v>2</v>
      </c>
    </row>
    <row r="13818" spans="1:2" x14ac:dyDescent="0.2">
      <c r="A13818" t="str">
        <f>"RNF7"</f>
        <v>RNF7</v>
      </c>
      <c r="B13818" t="s">
        <v>2</v>
      </c>
    </row>
    <row r="13819" spans="1:2" x14ac:dyDescent="0.2">
      <c r="A13819" t="str">
        <f>"RNF8"</f>
        <v>RNF8</v>
      </c>
      <c r="B13819" t="s">
        <v>3</v>
      </c>
    </row>
    <row r="13820" spans="1:2" x14ac:dyDescent="0.2">
      <c r="A13820" t="str">
        <f>"RNFT1"</f>
        <v>RNFT1</v>
      </c>
      <c r="B13820" t="s">
        <v>2</v>
      </c>
    </row>
    <row r="13821" spans="1:2" x14ac:dyDescent="0.2">
      <c r="A13821" t="str">
        <f>"RNFT2"</f>
        <v>RNFT2</v>
      </c>
      <c r="B13821" t="s">
        <v>5</v>
      </c>
    </row>
    <row r="13822" spans="1:2" x14ac:dyDescent="0.2">
      <c r="A13822" t="str">
        <f>"RNGTT"</f>
        <v>RNGTT</v>
      </c>
      <c r="B13822" t="s">
        <v>7</v>
      </c>
    </row>
    <row r="13823" spans="1:2" x14ac:dyDescent="0.2">
      <c r="A13823" t="str">
        <f>"RNH1"</f>
        <v>RNH1</v>
      </c>
      <c r="B13823" t="s">
        <v>3</v>
      </c>
    </row>
    <row r="13824" spans="1:2" x14ac:dyDescent="0.2">
      <c r="A13824" t="str">
        <f>"RNLS"</f>
        <v>RNLS</v>
      </c>
      <c r="B13824" t="s">
        <v>3</v>
      </c>
    </row>
    <row r="13825" spans="1:2" x14ac:dyDescent="0.2">
      <c r="A13825" t="str">
        <f>"RNMT"</f>
        <v>RNMT</v>
      </c>
      <c r="B13825" t="s">
        <v>8</v>
      </c>
    </row>
    <row r="13826" spans="1:2" x14ac:dyDescent="0.2">
      <c r="A13826" t="str">
        <f>"RNMTL1"</f>
        <v>RNMTL1</v>
      </c>
      <c r="B13826" t="s">
        <v>6</v>
      </c>
    </row>
    <row r="13827" spans="1:2" x14ac:dyDescent="0.2">
      <c r="A13827" t="str">
        <f>"RNPC3"</f>
        <v>RNPC3</v>
      </c>
      <c r="B13827" t="s">
        <v>8</v>
      </c>
    </row>
    <row r="13828" spans="1:2" x14ac:dyDescent="0.2">
      <c r="A13828" t="str">
        <f>"RNPEP"</f>
        <v>RNPEP</v>
      </c>
      <c r="B13828" t="s">
        <v>2</v>
      </c>
    </row>
    <row r="13829" spans="1:2" x14ac:dyDescent="0.2">
      <c r="A13829" t="str">
        <f>"RNPEPL1"</f>
        <v>RNPEPL1</v>
      </c>
      <c r="B13829" t="s">
        <v>2</v>
      </c>
    </row>
    <row r="13830" spans="1:2" x14ac:dyDescent="0.2">
      <c r="A13830" t="str">
        <f>"RNPS1"</f>
        <v>RNPS1</v>
      </c>
      <c r="B13830" t="s">
        <v>8</v>
      </c>
    </row>
    <row r="13831" spans="1:2" x14ac:dyDescent="0.2">
      <c r="A13831" t="str">
        <f>"ROBO1"</f>
        <v>ROBO1</v>
      </c>
      <c r="B13831" t="s">
        <v>3</v>
      </c>
    </row>
    <row r="13832" spans="1:2" x14ac:dyDescent="0.2">
      <c r="A13832" t="str">
        <f>"ROBO2"</f>
        <v>ROBO2</v>
      </c>
      <c r="B13832" t="s">
        <v>3</v>
      </c>
    </row>
    <row r="13833" spans="1:2" x14ac:dyDescent="0.2">
      <c r="A13833" t="str">
        <f>"ROBO3"</f>
        <v>ROBO3</v>
      </c>
      <c r="B13833" t="s">
        <v>5</v>
      </c>
    </row>
    <row r="13834" spans="1:2" x14ac:dyDescent="0.2">
      <c r="A13834" t="str">
        <f>"ROBO4"</f>
        <v>ROBO4</v>
      </c>
      <c r="B13834" t="s">
        <v>5</v>
      </c>
    </row>
    <row r="13835" spans="1:2" x14ac:dyDescent="0.2">
      <c r="A13835" t="str">
        <f>"ROCK1"</f>
        <v>ROCK1</v>
      </c>
      <c r="B13835" t="s">
        <v>7</v>
      </c>
    </row>
    <row r="13836" spans="1:2" x14ac:dyDescent="0.2">
      <c r="A13836" t="str">
        <f>"ROCK2"</f>
        <v>ROCK2</v>
      </c>
      <c r="B13836" t="s">
        <v>7</v>
      </c>
    </row>
    <row r="13837" spans="1:2" x14ac:dyDescent="0.2">
      <c r="A13837" t="str">
        <f>"ROGDI"</f>
        <v>ROGDI</v>
      </c>
      <c r="B13837" t="s">
        <v>3</v>
      </c>
    </row>
    <row r="13838" spans="1:2" x14ac:dyDescent="0.2">
      <c r="A13838" t="str">
        <f>"ROM1"</f>
        <v>ROM1</v>
      </c>
      <c r="B13838" t="s">
        <v>5</v>
      </c>
    </row>
    <row r="13839" spans="1:2" x14ac:dyDescent="0.2">
      <c r="A13839" t="str">
        <f>"ROMO1"</f>
        <v>ROMO1</v>
      </c>
      <c r="B13839" t="s">
        <v>6</v>
      </c>
    </row>
    <row r="13840" spans="1:2" x14ac:dyDescent="0.2">
      <c r="A13840" t="str">
        <f>"ROPN1"</f>
        <v>ROPN1</v>
      </c>
      <c r="B13840" t="s">
        <v>4</v>
      </c>
    </row>
    <row r="13841" spans="1:2" x14ac:dyDescent="0.2">
      <c r="A13841" t="str">
        <f>"ROPN1B"</f>
        <v>ROPN1B</v>
      </c>
      <c r="B13841" t="s">
        <v>4</v>
      </c>
    </row>
    <row r="13842" spans="1:2" x14ac:dyDescent="0.2">
      <c r="A13842" t="str">
        <f>"ROPN1L"</f>
        <v>ROPN1L</v>
      </c>
      <c r="B13842" t="s">
        <v>4</v>
      </c>
    </row>
    <row r="13843" spans="1:2" x14ac:dyDescent="0.2">
      <c r="A13843" t="str">
        <f>"ROR1"</f>
        <v>ROR1</v>
      </c>
      <c r="B13843" t="s">
        <v>7</v>
      </c>
    </row>
    <row r="13844" spans="1:2" x14ac:dyDescent="0.2">
      <c r="A13844" t="str">
        <f>"ROR2"</f>
        <v>ROR2</v>
      </c>
      <c r="B13844" t="s">
        <v>7</v>
      </c>
    </row>
    <row r="13845" spans="1:2" x14ac:dyDescent="0.2">
      <c r="A13845" t="str">
        <f>"RORA"</f>
        <v>RORA</v>
      </c>
      <c r="B13845" t="s">
        <v>7</v>
      </c>
    </row>
    <row r="13846" spans="1:2" x14ac:dyDescent="0.2">
      <c r="A13846" t="str">
        <f>"RORB"</f>
        <v>RORB</v>
      </c>
      <c r="B13846" t="s">
        <v>3</v>
      </c>
    </row>
    <row r="13847" spans="1:2" x14ac:dyDescent="0.2">
      <c r="A13847" t="str">
        <f>"RORC"</f>
        <v>RORC</v>
      </c>
      <c r="B13847" t="s">
        <v>8</v>
      </c>
    </row>
    <row r="13848" spans="1:2" x14ac:dyDescent="0.2">
      <c r="A13848" t="str">
        <f>"ROS1"</f>
        <v>ROS1</v>
      </c>
      <c r="B13848" t="s">
        <v>7</v>
      </c>
    </row>
    <row r="13849" spans="1:2" x14ac:dyDescent="0.2">
      <c r="A13849" t="str">
        <f>"RP1"</f>
        <v>RP1</v>
      </c>
      <c r="B13849" t="s">
        <v>4</v>
      </c>
    </row>
    <row r="13850" spans="1:2" x14ac:dyDescent="0.2">
      <c r="A13850" t="str">
        <f>"RP1L1"</f>
        <v>RP1L1</v>
      </c>
      <c r="B13850" t="s">
        <v>3</v>
      </c>
    </row>
    <row r="13851" spans="1:2" x14ac:dyDescent="0.2">
      <c r="A13851" t="str">
        <f>"RP2"</f>
        <v>RP2</v>
      </c>
      <c r="B13851" t="s">
        <v>2</v>
      </c>
    </row>
    <row r="13852" spans="1:2" x14ac:dyDescent="0.2">
      <c r="A13852" t="str">
        <f>"RP9"</f>
        <v>RP9</v>
      </c>
      <c r="B13852" t="s">
        <v>8</v>
      </c>
    </row>
    <row r="13853" spans="1:2" x14ac:dyDescent="0.2">
      <c r="A13853" t="str">
        <f>"RPA1"</f>
        <v>RPA1</v>
      </c>
      <c r="B13853" t="s">
        <v>3</v>
      </c>
    </row>
    <row r="13854" spans="1:2" x14ac:dyDescent="0.2">
      <c r="A13854" t="str">
        <f>"RPA2"</f>
        <v>RPA2</v>
      </c>
      <c r="B13854" t="s">
        <v>3</v>
      </c>
    </row>
    <row r="13855" spans="1:2" x14ac:dyDescent="0.2">
      <c r="A13855" t="str">
        <f>"RPA3"</f>
        <v>RPA3</v>
      </c>
      <c r="B13855" t="s">
        <v>3</v>
      </c>
    </row>
    <row r="13856" spans="1:2" x14ac:dyDescent="0.2">
      <c r="A13856" t="str">
        <f>"RPA4"</f>
        <v>RPA4</v>
      </c>
      <c r="B13856" t="s">
        <v>8</v>
      </c>
    </row>
    <row r="13857" spans="1:2" x14ac:dyDescent="0.2">
      <c r="A13857" t="str">
        <f>"RPAIN"</f>
        <v>RPAIN</v>
      </c>
      <c r="B13857" t="s">
        <v>4</v>
      </c>
    </row>
    <row r="13858" spans="1:2" x14ac:dyDescent="0.2">
      <c r="A13858" t="str">
        <f>"RPAP1"</f>
        <v>RPAP1</v>
      </c>
      <c r="B13858" t="s">
        <v>8</v>
      </c>
    </row>
    <row r="13859" spans="1:2" x14ac:dyDescent="0.2">
      <c r="A13859" t="str">
        <f>"RPAP2"</f>
        <v>RPAP2</v>
      </c>
      <c r="B13859" t="s">
        <v>5</v>
      </c>
    </row>
    <row r="13860" spans="1:2" x14ac:dyDescent="0.2">
      <c r="A13860" t="str">
        <f>"RPAP3"</f>
        <v>RPAP3</v>
      </c>
      <c r="B13860" t="s">
        <v>4</v>
      </c>
    </row>
    <row r="13861" spans="1:2" x14ac:dyDescent="0.2">
      <c r="A13861" t="str">
        <f>"RPE"</f>
        <v>RPE</v>
      </c>
      <c r="B13861" t="s">
        <v>3</v>
      </c>
    </row>
    <row r="13862" spans="1:2" x14ac:dyDescent="0.2">
      <c r="A13862" t="str">
        <f>"RPE65"</f>
        <v>RPE65</v>
      </c>
      <c r="B13862" t="s">
        <v>4</v>
      </c>
    </row>
    <row r="13863" spans="1:2" x14ac:dyDescent="0.2">
      <c r="A13863" t="str">
        <f>"RPF1"</f>
        <v>RPF1</v>
      </c>
      <c r="B13863" t="s">
        <v>8</v>
      </c>
    </row>
    <row r="13864" spans="1:2" x14ac:dyDescent="0.2">
      <c r="A13864" t="str">
        <f>"RPF2"</f>
        <v>RPF2</v>
      </c>
      <c r="B13864" t="s">
        <v>8</v>
      </c>
    </row>
    <row r="13865" spans="1:2" x14ac:dyDescent="0.2">
      <c r="A13865" t="str">
        <f>"RPGR"</f>
        <v>RPGR</v>
      </c>
      <c r="B13865" t="s">
        <v>4</v>
      </c>
    </row>
    <row r="13866" spans="1:2" x14ac:dyDescent="0.2">
      <c r="A13866" t="str">
        <f>"RPGRIP1"</f>
        <v>RPGRIP1</v>
      </c>
      <c r="B13866" t="s">
        <v>3</v>
      </c>
    </row>
    <row r="13867" spans="1:2" x14ac:dyDescent="0.2">
      <c r="A13867" t="str">
        <f>"RPGRIP1L"</f>
        <v>RPGRIP1L</v>
      </c>
      <c r="B13867" t="s">
        <v>3</v>
      </c>
    </row>
    <row r="13868" spans="1:2" x14ac:dyDescent="0.2">
      <c r="A13868" t="str">
        <f>"RPH3A"</f>
        <v>RPH3A</v>
      </c>
      <c r="B13868" t="s">
        <v>2</v>
      </c>
    </row>
    <row r="13869" spans="1:2" x14ac:dyDescent="0.2">
      <c r="A13869" t="str">
        <f>"RPH3AL"</f>
        <v>RPH3AL</v>
      </c>
      <c r="B13869" t="s">
        <v>6</v>
      </c>
    </row>
    <row r="13870" spans="1:2" x14ac:dyDescent="0.2">
      <c r="A13870" t="str">
        <f>"RPIA"</f>
        <v>RPIA</v>
      </c>
      <c r="B13870" t="s">
        <v>7</v>
      </c>
    </row>
    <row r="13871" spans="1:2" x14ac:dyDescent="0.2">
      <c r="A13871" t="str">
        <f>"RPL10"</f>
        <v>RPL10</v>
      </c>
      <c r="B13871" t="s">
        <v>2</v>
      </c>
    </row>
    <row r="13872" spans="1:2" x14ac:dyDescent="0.2">
      <c r="A13872" t="str">
        <f>"RPL10A"</f>
        <v>RPL10A</v>
      </c>
      <c r="B13872" t="s">
        <v>2</v>
      </c>
    </row>
    <row r="13873" spans="1:2" x14ac:dyDescent="0.2">
      <c r="A13873" t="str">
        <f>"RPL10L"</f>
        <v>RPL10L</v>
      </c>
      <c r="B13873" t="s">
        <v>2</v>
      </c>
    </row>
    <row r="13874" spans="1:2" x14ac:dyDescent="0.2">
      <c r="A13874" t="str">
        <f>"RPL11"</f>
        <v>RPL11</v>
      </c>
      <c r="B13874" t="s">
        <v>2</v>
      </c>
    </row>
    <row r="13875" spans="1:2" x14ac:dyDescent="0.2">
      <c r="A13875" t="str">
        <f>"RPL12"</f>
        <v>RPL12</v>
      </c>
      <c r="B13875" t="s">
        <v>2</v>
      </c>
    </row>
    <row r="13876" spans="1:2" x14ac:dyDescent="0.2">
      <c r="A13876" t="str">
        <f>"RPL13"</f>
        <v>RPL13</v>
      </c>
      <c r="B13876" t="s">
        <v>2</v>
      </c>
    </row>
    <row r="13877" spans="1:2" x14ac:dyDescent="0.2">
      <c r="A13877" t="str">
        <f>"RPL13A"</f>
        <v>RPL13A</v>
      </c>
      <c r="B13877" t="s">
        <v>2</v>
      </c>
    </row>
    <row r="13878" spans="1:2" x14ac:dyDescent="0.2">
      <c r="A13878" t="str">
        <f>"RPL14"</f>
        <v>RPL14</v>
      </c>
      <c r="B13878" t="s">
        <v>2</v>
      </c>
    </row>
    <row r="13879" spans="1:2" x14ac:dyDescent="0.2">
      <c r="A13879" t="str">
        <f>"RPL15"</f>
        <v>RPL15</v>
      </c>
      <c r="B13879" t="s">
        <v>2</v>
      </c>
    </row>
    <row r="13880" spans="1:2" x14ac:dyDescent="0.2">
      <c r="A13880" t="str">
        <f>"RPL17"</f>
        <v>RPL17</v>
      </c>
      <c r="B13880" t="s">
        <v>2</v>
      </c>
    </row>
    <row r="13881" spans="1:2" x14ac:dyDescent="0.2">
      <c r="A13881" t="str">
        <f>"RPL17-C18orf32"</f>
        <v>RPL17-C18orf32</v>
      </c>
      <c r="B13881" t="s">
        <v>4</v>
      </c>
    </row>
    <row r="13882" spans="1:2" x14ac:dyDescent="0.2">
      <c r="A13882" t="str">
        <f>"RPL18"</f>
        <v>RPL18</v>
      </c>
      <c r="B13882" t="s">
        <v>2</v>
      </c>
    </row>
    <row r="13883" spans="1:2" x14ac:dyDescent="0.2">
      <c r="A13883" t="str">
        <f>"RPL18A"</f>
        <v>RPL18A</v>
      </c>
      <c r="B13883" t="s">
        <v>2</v>
      </c>
    </row>
    <row r="13884" spans="1:2" x14ac:dyDescent="0.2">
      <c r="A13884" t="str">
        <f>"RPL19"</f>
        <v>RPL19</v>
      </c>
      <c r="B13884" t="s">
        <v>2</v>
      </c>
    </row>
    <row r="13885" spans="1:2" x14ac:dyDescent="0.2">
      <c r="A13885" t="str">
        <f>"RPL21"</f>
        <v>RPL21</v>
      </c>
      <c r="B13885" t="s">
        <v>2</v>
      </c>
    </row>
    <row r="13886" spans="1:2" x14ac:dyDescent="0.2">
      <c r="A13886" t="str">
        <f>"RPL22"</f>
        <v>RPL22</v>
      </c>
      <c r="B13886" t="s">
        <v>2</v>
      </c>
    </row>
    <row r="13887" spans="1:2" x14ac:dyDescent="0.2">
      <c r="A13887" t="str">
        <f>"RPL22L1"</f>
        <v>RPL22L1</v>
      </c>
      <c r="B13887" t="s">
        <v>2</v>
      </c>
    </row>
    <row r="13888" spans="1:2" x14ac:dyDescent="0.2">
      <c r="A13888" t="str">
        <f>"RPL23"</f>
        <v>RPL23</v>
      </c>
      <c r="B13888" t="s">
        <v>2</v>
      </c>
    </row>
    <row r="13889" spans="1:2" x14ac:dyDescent="0.2">
      <c r="A13889" t="str">
        <f>"RPL23A"</f>
        <v>RPL23A</v>
      </c>
      <c r="B13889" t="s">
        <v>2</v>
      </c>
    </row>
    <row r="13890" spans="1:2" x14ac:dyDescent="0.2">
      <c r="A13890" t="str">
        <f>"RPL24"</f>
        <v>RPL24</v>
      </c>
      <c r="B13890" t="s">
        <v>2</v>
      </c>
    </row>
    <row r="13891" spans="1:2" x14ac:dyDescent="0.2">
      <c r="A13891" t="str">
        <f>"RPL26"</f>
        <v>RPL26</v>
      </c>
      <c r="B13891" t="s">
        <v>2</v>
      </c>
    </row>
    <row r="13892" spans="1:2" x14ac:dyDescent="0.2">
      <c r="A13892" t="str">
        <f>"RPL26L1"</f>
        <v>RPL26L1</v>
      </c>
      <c r="B13892" t="s">
        <v>2</v>
      </c>
    </row>
    <row r="13893" spans="1:2" x14ac:dyDescent="0.2">
      <c r="A13893" t="str">
        <f>"RPL27"</f>
        <v>RPL27</v>
      </c>
      <c r="B13893" t="s">
        <v>2</v>
      </c>
    </row>
    <row r="13894" spans="1:2" x14ac:dyDescent="0.2">
      <c r="A13894" t="str">
        <f>"RPL27A"</f>
        <v>RPL27A</v>
      </c>
      <c r="B13894" t="s">
        <v>2</v>
      </c>
    </row>
    <row r="13895" spans="1:2" x14ac:dyDescent="0.2">
      <c r="A13895" t="str">
        <f>"RPL28"</f>
        <v>RPL28</v>
      </c>
      <c r="B13895" t="s">
        <v>2</v>
      </c>
    </row>
    <row r="13896" spans="1:2" x14ac:dyDescent="0.2">
      <c r="A13896" t="str">
        <f>"RPL29"</f>
        <v>RPL29</v>
      </c>
      <c r="B13896" t="s">
        <v>2</v>
      </c>
    </row>
    <row r="13897" spans="1:2" x14ac:dyDescent="0.2">
      <c r="A13897" t="str">
        <f>"RPL3"</f>
        <v>RPL3</v>
      </c>
      <c r="B13897" t="s">
        <v>2</v>
      </c>
    </row>
    <row r="13898" spans="1:2" x14ac:dyDescent="0.2">
      <c r="A13898" t="str">
        <f>"RPL30"</f>
        <v>RPL30</v>
      </c>
      <c r="B13898" t="s">
        <v>2</v>
      </c>
    </row>
    <row r="13899" spans="1:2" x14ac:dyDescent="0.2">
      <c r="A13899" t="str">
        <f>"RPL31"</f>
        <v>RPL31</v>
      </c>
      <c r="B13899" t="s">
        <v>2</v>
      </c>
    </row>
    <row r="13900" spans="1:2" x14ac:dyDescent="0.2">
      <c r="A13900" t="str">
        <f>"RPL32"</f>
        <v>RPL32</v>
      </c>
      <c r="B13900" t="s">
        <v>2</v>
      </c>
    </row>
    <row r="13901" spans="1:2" x14ac:dyDescent="0.2">
      <c r="A13901" t="str">
        <f>"RPL34"</f>
        <v>RPL34</v>
      </c>
      <c r="B13901" t="s">
        <v>2</v>
      </c>
    </row>
    <row r="13902" spans="1:2" x14ac:dyDescent="0.2">
      <c r="A13902" t="str">
        <f>"RPL35"</f>
        <v>RPL35</v>
      </c>
      <c r="B13902" t="s">
        <v>2</v>
      </c>
    </row>
    <row r="13903" spans="1:2" x14ac:dyDescent="0.2">
      <c r="A13903" t="str">
        <f>"RPL35A"</f>
        <v>RPL35A</v>
      </c>
      <c r="B13903" t="s">
        <v>2</v>
      </c>
    </row>
    <row r="13904" spans="1:2" x14ac:dyDescent="0.2">
      <c r="A13904" t="str">
        <f>"RPL36"</f>
        <v>RPL36</v>
      </c>
      <c r="B13904" t="s">
        <v>2</v>
      </c>
    </row>
    <row r="13905" spans="1:2" x14ac:dyDescent="0.2">
      <c r="A13905" t="str">
        <f>"RPL36A"</f>
        <v>RPL36A</v>
      </c>
      <c r="B13905" t="s">
        <v>2</v>
      </c>
    </row>
    <row r="13906" spans="1:2" x14ac:dyDescent="0.2">
      <c r="A13906" t="str">
        <f>"RPL36A-HNRNPH2"</f>
        <v>RPL36A-HNRNPH2</v>
      </c>
      <c r="B13906" t="s">
        <v>4</v>
      </c>
    </row>
    <row r="13907" spans="1:2" x14ac:dyDescent="0.2">
      <c r="A13907" t="str">
        <f>"RPL36AL"</f>
        <v>RPL36AL</v>
      </c>
      <c r="B13907" t="s">
        <v>2</v>
      </c>
    </row>
    <row r="13908" spans="1:2" x14ac:dyDescent="0.2">
      <c r="A13908" t="str">
        <f>"RPL37"</f>
        <v>RPL37</v>
      </c>
      <c r="B13908" t="s">
        <v>2</v>
      </c>
    </row>
    <row r="13909" spans="1:2" x14ac:dyDescent="0.2">
      <c r="A13909" t="str">
        <f>"RPL37A"</f>
        <v>RPL37A</v>
      </c>
      <c r="B13909" t="s">
        <v>2</v>
      </c>
    </row>
    <row r="13910" spans="1:2" x14ac:dyDescent="0.2">
      <c r="A13910" t="str">
        <f>"RPL38"</f>
        <v>RPL38</v>
      </c>
      <c r="B13910" t="s">
        <v>2</v>
      </c>
    </row>
    <row r="13911" spans="1:2" x14ac:dyDescent="0.2">
      <c r="A13911" t="str">
        <f>"RPL39"</f>
        <v>RPL39</v>
      </c>
      <c r="B13911" t="s">
        <v>2</v>
      </c>
    </row>
    <row r="13912" spans="1:2" x14ac:dyDescent="0.2">
      <c r="A13912" t="str">
        <f>"RPL39L"</f>
        <v>RPL39L</v>
      </c>
      <c r="B13912" t="s">
        <v>2</v>
      </c>
    </row>
    <row r="13913" spans="1:2" x14ac:dyDescent="0.2">
      <c r="A13913" t="str">
        <f>"RPL3L"</f>
        <v>RPL3L</v>
      </c>
      <c r="B13913" t="s">
        <v>2</v>
      </c>
    </row>
    <row r="13914" spans="1:2" x14ac:dyDescent="0.2">
      <c r="A13914" t="str">
        <f>"RPL4"</f>
        <v>RPL4</v>
      </c>
      <c r="B13914" t="s">
        <v>2</v>
      </c>
    </row>
    <row r="13915" spans="1:2" x14ac:dyDescent="0.2">
      <c r="A13915" t="str">
        <f>"RPL41"</f>
        <v>RPL41</v>
      </c>
      <c r="B13915" t="s">
        <v>2</v>
      </c>
    </row>
    <row r="13916" spans="1:2" x14ac:dyDescent="0.2">
      <c r="A13916" t="str">
        <f>"RPL5"</f>
        <v>RPL5</v>
      </c>
      <c r="B13916" t="s">
        <v>2</v>
      </c>
    </row>
    <row r="13917" spans="1:2" x14ac:dyDescent="0.2">
      <c r="A13917" t="str">
        <f>"RPL6"</f>
        <v>RPL6</v>
      </c>
      <c r="B13917" t="s">
        <v>2</v>
      </c>
    </row>
    <row r="13918" spans="1:2" x14ac:dyDescent="0.2">
      <c r="A13918" t="str">
        <f>"RPL7"</f>
        <v>RPL7</v>
      </c>
      <c r="B13918" t="s">
        <v>2</v>
      </c>
    </row>
    <row r="13919" spans="1:2" x14ac:dyDescent="0.2">
      <c r="A13919" t="str">
        <f>"RPL7A"</f>
        <v>RPL7A</v>
      </c>
      <c r="B13919" t="s">
        <v>2</v>
      </c>
    </row>
    <row r="13920" spans="1:2" x14ac:dyDescent="0.2">
      <c r="A13920" t="str">
        <f>"RPL7L1"</f>
        <v>RPL7L1</v>
      </c>
      <c r="B13920" t="s">
        <v>2</v>
      </c>
    </row>
    <row r="13921" spans="1:2" x14ac:dyDescent="0.2">
      <c r="A13921" t="str">
        <f>"RPL8"</f>
        <v>RPL8</v>
      </c>
      <c r="B13921" t="s">
        <v>2</v>
      </c>
    </row>
    <row r="13922" spans="1:2" x14ac:dyDescent="0.2">
      <c r="A13922" t="str">
        <f>"RPL9"</f>
        <v>RPL9</v>
      </c>
      <c r="B13922" t="s">
        <v>2</v>
      </c>
    </row>
    <row r="13923" spans="1:2" x14ac:dyDescent="0.2">
      <c r="A13923" t="str">
        <f>"RPLP0"</f>
        <v>RPLP0</v>
      </c>
      <c r="B13923" t="s">
        <v>2</v>
      </c>
    </row>
    <row r="13924" spans="1:2" x14ac:dyDescent="0.2">
      <c r="A13924" t="str">
        <f>"RPLP1"</f>
        <v>RPLP1</v>
      </c>
      <c r="B13924" t="s">
        <v>2</v>
      </c>
    </row>
    <row r="13925" spans="1:2" x14ac:dyDescent="0.2">
      <c r="A13925" t="str">
        <f>"RPLP2"</f>
        <v>RPLP2</v>
      </c>
      <c r="B13925" t="s">
        <v>2</v>
      </c>
    </row>
    <row r="13926" spans="1:2" x14ac:dyDescent="0.2">
      <c r="A13926" t="str">
        <f>"RPN1"</f>
        <v>RPN1</v>
      </c>
      <c r="B13926" t="s">
        <v>3</v>
      </c>
    </row>
    <row r="13927" spans="1:2" x14ac:dyDescent="0.2">
      <c r="A13927" t="str">
        <f>"RPN2"</f>
        <v>RPN2</v>
      </c>
      <c r="B13927" t="s">
        <v>3</v>
      </c>
    </row>
    <row r="13928" spans="1:2" x14ac:dyDescent="0.2">
      <c r="A13928" t="str">
        <f>"RPP14"</f>
        <v>RPP14</v>
      </c>
      <c r="B13928" t="s">
        <v>6</v>
      </c>
    </row>
    <row r="13929" spans="1:2" x14ac:dyDescent="0.2">
      <c r="A13929" t="str">
        <f>"RPP21"</f>
        <v>RPP21</v>
      </c>
      <c r="B13929" t="s">
        <v>4</v>
      </c>
    </row>
    <row r="13930" spans="1:2" x14ac:dyDescent="0.2">
      <c r="A13930" t="str">
        <f>"RPP25"</f>
        <v>RPP25</v>
      </c>
      <c r="B13930" t="s">
        <v>6</v>
      </c>
    </row>
    <row r="13931" spans="1:2" x14ac:dyDescent="0.2">
      <c r="A13931" t="str">
        <f>"RPP25L"</f>
        <v>RPP25L</v>
      </c>
      <c r="B13931" t="s">
        <v>4</v>
      </c>
    </row>
    <row r="13932" spans="1:2" x14ac:dyDescent="0.2">
      <c r="A13932" t="str">
        <f>"RPP30"</f>
        <v>RPP30</v>
      </c>
      <c r="B13932" t="s">
        <v>8</v>
      </c>
    </row>
    <row r="13933" spans="1:2" x14ac:dyDescent="0.2">
      <c r="A13933" t="str">
        <f>"RPP38"</f>
        <v>RPP38</v>
      </c>
      <c r="B13933" t="s">
        <v>2</v>
      </c>
    </row>
    <row r="13934" spans="1:2" x14ac:dyDescent="0.2">
      <c r="A13934" t="str">
        <f>"RPP40"</f>
        <v>RPP40</v>
      </c>
      <c r="B13934" t="s">
        <v>8</v>
      </c>
    </row>
    <row r="13935" spans="1:2" x14ac:dyDescent="0.2">
      <c r="A13935" t="str">
        <f>"RPRD1A"</f>
        <v>RPRD1A</v>
      </c>
      <c r="B13935" t="s">
        <v>8</v>
      </c>
    </row>
    <row r="13936" spans="1:2" x14ac:dyDescent="0.2">
      <c r="A13936" t="str">
        <f>"RPRD1B"</f>
        <v>RPRD1B</v>
      </c>
      <c r="B13936" t="s">
        <v>5</v>
      </c>
    </row>
    <row r="13937" spans="1:2" x14ac:dyDescent="0.2">
      <c r="A13937" t="str">
        <f>"RPRD2"</f>
        <v>RPRD2</v>
      </c>
      <c r="B13937" t="s">
        <v>2</v>
      </c>
    </row>
    <row r="13938" spans="1:2" x14ac:dyDescent="0.2">
      <c r="A13938" t="str">
        <f>"RPRM"</f>
        <v>RPRM</v>
      </c>
      <c r="B13938" t="s">
        <v>3</v>
      </c>
    </row>
    <row r="13939" spans="1:2" x14ac:dyDescent="0.2">
      <c r="A13939" t="str">
        <f>"RPRML"</f>
        <v>RPRML</v>
      </c>
      <c r="B13939" t="s">
        <v>5</v>
      </c>
    </row>
    <row r="13940" spans="1:2" x14ac:dyDescent="0.2">
      <c r="A13940" t="str">
        <f>"RPS10"</f>
        <v>RPS10</v>
      </c>
      <c r="B13940" t="s">
        <v>2</v>
      </c>
    </row>
    <row r="13941" spans="1:2" x14ac:dyDescent="0.2">
      <c r="A13941" t="str">
        <f>"RPS10-NUDT3"</f>
        <v>RPS10-NUDT3</v>
      </c>
      <c r="B13941" t="s">
        <v>4</v>
      </c>
    </row>
    <row r="13942" spans="1:2" x14ac:dyDescent="0.2">
      <c r="A13942" t="str">
        <f>"RPS11"</f>
        <v>RPS11</v>
      </c>
      <c r="B13942" t="s">
        <v>2</v>
      </c>
    </row>
    <row r="13943" spans="1:2" x14ac:dyDescent="0.2">
      <c r="A13943" t="str">
        <f>"RPS12"</f>
        <v>RPS12</v>
      </c>
      <c r="B13943" t="s">
        <v>2</v>
      </c>
    </row>
    <row r="13944" spans="1:2" x14ac:dyDescent="0.2">
      <c r="A13944" t="str">
        <f>"RPS13"</f>
        <v>RPS13</v>
      </c>
      <c r="B13944" t="s">
        <v>2</v>
      </c>
    </row>
    <row r="13945" spans="1:2" x14ac:dyDescent="0.2">
      <c r="A13945" t="str">
        <f>"RPS14"</f>
        <v>RPS14</v>
      </c>
      <c r="B13945" t="s">
        <v>2</v>
      </c>
    </row>
    <row r="13946" spans="1:2" x14ac:dyDescent="0.2">
      <c r="A13946" t="str">
        <f>"RPS15"</f>
        <v>RPS15</v>
      </c>
      <c r="B13946" t="s">
        <v>2</v>
      </c>
    </row>
    <row r="13947" spans="1:2" x14ac:dyDescent="0.2">
      <c r="A13947" t="str">
        <f>"RPS15A"</f>
        <v>RPS15A</v>
      </c>
      <c r="B13947" t="s">
        <v>2</v>
      </c>
    </row>
    <row r="13948" spans="1:2" x14ac:dyDescent="0.2">
      <c r="A13948" t="str">
        <f>"RPS16"</f>
        <v>RPS16</v>
      </c>
      <c r="B13948" t="s">
        <v>2</v>
      </c>
    </row>
    <row r="13949" spans="1:2" x14ac:dyDescent="0.2">
      <c r="A13949" t="str">
        <f>"RPS17"</f>
        <v>RPS17</v>
      </c>
      <c r="B13949" t="s">
        <v>2</v>
      </c>
    </row>
    <row r="13950" spans="1:2" x14ac:dyDescent="0.2">
      <c r="A13950" t="str">
        <f>"RPS18"</f>
        <v>RPS18</v>
      </c>
      <c r="B13950" t="s">
        <v>2</v>
      </c>
    </row>
    <row r="13951" spans="1:2" x14ac:dyDescent="0.2">
      <c r="A13951" t="str">
        <f>"RPS19"</f>
        <v>RPS19</v>
      </c>
      <c r="B13951" t="s">
        <v>2</v>
      </c>
    </row>
    <row r="13952" spans="1:2" x14ac:dyDescent="0.2">
      <c r="A13952" t="str">
        <f>"RPS19BP1"</f>
        <v>RPS19BP1</v>
      </c>
      <c r="B13952" t="s">
        <v>2</v>
      </c>
    </row>
    <row r="13953" spans="1:2" x14ac:dyDescent="0.2">
      <c r="A13953" t="str">
        <f>"RPS2"</f>
        <v>RPS2</v>
      </c>
      <c r="B13953" t="s">
        <v>2</v>
      </c>
    </row>
    <row r="13954" spans="1:2" x14ac:dyDescent="0.2">
      <c r="A13954" t="str">
        <f>"RPS20"</f>
        <v>RPS20</v>
      </c>
      <c r="B13954" t="s">
        <v>2</v>
      </c>
    </row>
    <row r="13955" spans="1:2" x14ac:dyDescent="0.2">
      <c r="A13955" t="str">
        <f>"RPS21"</f>
        <v>RPS21</v>
      </c>
      <c r="B13955" t="s">
        <v>2</v>
      </c>
    </row>
    <row r="13956" spans="1:2" x14ac:dyDescent="0.2">
      <c r="A13956" t="str">
        <f>"RPS23"</f>
        <v>RPS23</v>
      </c>
      <c r="B13956" t="s">
        <v>2</v>
      </c>
    </row>
    <row r="13957" spans="1:2" x14ac:dyDescent="0.2">
      <c r="A13957" t="str">
        <f>"RPS24"</f>
        <v>RPS24</v>
      </c>
      <c r="B13957" t="s">
        <v>2</v>
      </c>
    </row>
    <row r="13958" spans="1:2" x14ac:dyDescent="0.2">
      <c r="A13958" t="str">
        <f>"RPS25"</f>
        <v>RPS25</v>
      </c>
      <c r="B13958" t="s">
        <v>2</v>
      </c>
    </row>
    <row r="13959" spans="1:2" x14ac:dyDescent="0.2">
      <c r="A13959" t="str">
        <f>"RPS26"</f>
        <v>RPS26</v>
      </c>
      <c r="B13959" t="s">
        <v>2</v>
      </c>
    </row>
    <row r="13960" spans="1:2" x14ac:dyDescent="0.2">
      <c r="A13960" t="str">
        <f>"RPS27"</f>
        <v>RPS27</v>
      </c>
      <c r="B13960" t="s">
        <v>2</v>
      </c>
    </row>
    <row r="13961" spans="1:2" x14ac:dyDescent="0.2">
      <c r="A13961" t="str">
        <f>"RPS27A"</f>
        <v>RPS27A</v>
      </c>
      <c r="B13961" t="s">
        <v>2</v>
      </c>
    </row>
    <row r="13962" spans="1:2" x14ac:dyDescent="0.2">
      <c r="A13962" t="str">
        <f>"RPS27L"</f>
        <v>RPS27L</v>
      </c>
      <c r="B13962" t="s">
        <v>2</v>
      </c>
    </row>
    <row r="13963" spans="1:2" x14ac:dyDescent="0.2">
      <c r="A13963" t="str">
        <f>"RPS28"</f>
        <v>RPS28</v>
      </c>
      <c r="B13963" t="s">
        <v>2</v>
      </c>
    </row>
    <row r="13964" spans="1:2" x14ac:dyDescent="0.2">
      <c r="A13964" t="str">
        <f>"RPS29"</f>
        <v>RPS29</v>
      </c>
      <c r="B13964" t="s">
        <v>2</v>
      </c>
    </row>
    <row r="13965" spans="1:2" x14ac:dyDescent="0.2">
      <c r="A13965" t="str">
        <f>"RPS3"</f>
        <v>RPS3</v>
      </c>
      <c r="B13965" t="s">
        <v>2</v>
      </c>
    </row>
    <row r="13966" spans="1:2" x14ac:dyDescent="0.2">
      <c r="A13966" t="str">
        <f>"RPS3A"</f>
        <v>RPS3A</v>
      </c>
      <c r="B13966" t="s">
        <v>2</v>
      </c>
    </row>
    <row r="13967" spans="1:2" x14ac:dyDescent="0.2">
      <c r="A13967" t="str">
        <f>"RPS4X"</f>
        <v>RPS4X</v>
      </c>
      <c r="B13967" t="s">
        <v>2</v>
      </c>
    </row>
    <row r="13968" spans="1:2" x14ac:dyDescent="0.2">
      <c r="A13968" t="str">
        <f>"RPS4Y1"</f>
        <v>RPS4Y1</v>
      </c>
      <c r="B13968" t="s">
        <v>2</v>
      </c>
    </row>
    <row r="13969" spans="1:2" x14ac:dyDescent="0.2">
      <c r="A13969" t="str">
        <f>"RPS4Y2"</f>
        <v>RPS4Y2</v>
      </c>
      <c r="B13969" t="s">
        <v>2</v>
      </c>
    </row>
    <row r="13970" spans="1:2" x14ac:dyDescent="0.2">
      <c r="A13970" t="str">
        <f>"RPS5"</f>
        <v>RPS5</v>
      </c>
      <c r="B13970" t="s">
        <v>2</v>
      </c>
    </row>
    <row r="13971" spans="1:2" x14ac:dyDescent="0.2">
      <c r="A13971" t="str">
        <f>"RPS6"</f>
        <v>RPS6</v>
      </c>
      <c r="B13971" t="s">
        <v>2</v>
      </c>
    </row>
    <row r="13972" spans="1:2" x14ac:dyDescent="0.2">
      <c r="A13972" t="str">
        <f>"RPS6KA1"</f>
        <v>RPS6KA1</v>
      </c>
      <c r="B13972" t="s">
        <v>7</v>
      </c>
    </row>
    <row r="13973" spans="1:2" x14ac:dyDescent="0.2">
      <c r="A13973" t="str">
        <f>"RPS6KA2"</f>
        <v>RPS6KA2</v>
      </c>
      <c r="B13973" t="s">
        <v>7</v>
      </c>
    </row>
    <row r="13974" spans="1:2" x14ac:dyDescent="0.2">
      <c r="A13974" t="str">
        <f>"RPS6KA3"</f>
        <v>RPS6KA3</v>
      </c>
      <c r="B13974" t="s">
        <v>7</v>
      </c>
    </row>
    <row r="13975" spans="1:2" x14ac:dyDescent="0.2">
      <c r="A13975" t="str">
        <f>"RPS6KA4"</f>
        <v>RPS6KA4</v>
      </c>
      <c r="B13975" t="s">
        <v>7</v>
      </c>
    </row>
    <row r="13976" spans="1:2" x14ac:dyDescent="0.2">
      <c r="A13976" t="str">
        <f>"RPS6KA5"</f>
        <v>RPS6KA5</v>
      </c>
      <c r="B13976" t="s">
        <v>7</v>
      </c>
    </row>
    <row r="13977" spans="1:2" x14ac:dyDescent="0.2">
      <c r="A13977" t="str">
        <f>"RPS6KA6"</f>
        <v>RPS6KA6</v>
      </c>
      <c r="B13977" t="s">
        <v>7</v>
      </c>
    </row>
    <row r="13978" spans="1:2" x14ac:dyDescent="0.2">
      <c r="A13978" t="str">
        <f>"RPS6KB1"</f>
        <v>RPS6KB1</v>
      </c>
      <c r="B13978" t="s">
        <v>7</v>
      </c>
    </row>
    <row r="13979" spans="1:2" x14ac:dyDescent="0.2">
      <c r="A13979" t="str">
        <f>"RPS6KB2"</f>
        <v>RPS6KB2</v>
      </c>
      <c r="B13979" t="s">
        <v>7</v>
      </c>
    </row>
    <row r="13980" spans="1:2" x14ac:dyDescent="0.2">
      <c r="A13980" t="str">
        <f>"RPS6KC1"</f>
        <v>RPS6KC1</v>
      </c>
      <c r="B13980" t="s">
        <v>7</v>
      </c>
    </row>
    <row r="13981" spans="1:2" x14ac:dyDescent="0.2">
      <c r="A13981" t="str">
        <f>"RPS6KL1"</f>
        <v>RPS6KL1</v>
      </c>
      <c r="B13981" t="s">
        <v>7</v>
      </c>
    </row>
    <row r="13982" spans="1:2" x14ac:dyDescent="0.2">
      <c r="A13982" t="str">
        <f>"RPS7"</f>
        <v>RPS7</v>
      </c>
      <c r="B13982" t="s">
        <v>2</v>
      </c>
    </row>
    <row r="13983" spans="1:2" x14ac:dyDescent="0.2">
      <c r="A13983" t="str">
        <f>"RPS8"</f>
        <v>RPS8</v>
      </c>
      <c r="B13983" t="s">
        <v>2</v>
      </c>
    </row>
    <row r="13984" spans="1:2" x14ac:dyDescent="0.2">
      <c r="A13984" t="str">
        <f>"RPS9"</f>
        <v>RPS9</v>
      </c>
      <c r="B13984" t="s">
        <v>2</v>
      </c>
    </row>
    <row r="13985" spans="1:2" x14ac:dyDescent="0.2">
      <c r="A13985" t="str">
        <f>"RPSA"</f>
        <v>RPSA</v>
      </c>
      <c r="B13985" t="s">
        <v>2</v>
      </c>
    </row>
    <row r="13986" spans="1:2" x14ac:dyDescent="0.2">
      <c r="A13986" t="str">
        <f>"RPTN"</f>
        <v>RPTN</v>
      </c>
      <c r="B13986" t="s">
        <v>4</v>
      </c>
    </row>
    <row r="13987" spans="1:2" x14ac:dyDescent="0.2">
      <c r="A13987" t="str">
        <f>"RPTOR"</f>
        <v>RPTOR</v>
      </c>
      <c r="B13987" t="s">
        <v>3</v>
      </c>
    </row>
    <row r="13988" spans="1:2" x14ac:dyDescent="0.2">
      <c r="A13988" t="str">
        <f>"RPUSD1"</f>
        <v>RPUSD1</v>
      </c>
      <c r="B13988" t="s">
        <v>6</v>
      </c>
    </row>
    <row r="13989" spans="1:2" x14ac:dyDescent="0.2">
      <c r="A13989" t="str">
        <f>"RPUSD2"</f>
        <v>RPUSD2</v>
      </c>
      <c r="B13989" t="s">
        <v>6</v>
      </c>
    </row>
    <row r="13990" spans="1:2" x14ac:dyDescent="0.2">
      <c r="A13990" t="str">
        <f>"RPUSD3"</f>
        <v>RPUSD3</v>
      </c>
      <c r="B13990" t="s">
        <v>6</v>
      </c>
    </row>
    <row r="13991" spans="1:2" x14ac:dyDescent="0.2">
      <c r="A13991" t="str">
        <f>"RPUSD4"</f>
        <v>RPUSD4</v>
      </c>
      <c r="B13991" t="s">
        <v>6</v>
      </c>
    </row>
    <row r="13992" spans="1:2" x14ac:dyDescent="0.2">
      <c r="A13992" t="str">
        <f>"RQCD1"</f>
        <v>RQCD1</v>
      </c>
      <c r="B13992" t="s">
        <v>8</v>
      </c>
    </row>
    <row r="13993" spans="1:2" x14ac:dyDescent="0.2">
      <c r="A13993" t="str">
        <f>"RRAD"</f>
        <v>RRAD</v>
      </c>
      <c r="B13993" t="s">
        <v>3</v>
      </c>
    </row>
    <row r="13994" spans="1:2" x14ac:dyDescent="0.2">
      <c r="A13994" t="str">
        <f>"RRAGA"</f>
        <v>RRAGA</v>
      </c>
      <c r="B13994" t="s">
        <v>2</v>
      </c>
    </row>
    <row r="13995" spans="1:2" x14ac:dyDescent="0.2">
      <c r="A13995" t="str">
        <f>"RRAGB"</f>
        <v>RRAGB</v>
      </c>
      <c r="B13995" t="s">
        <v>6</v>
      </c>
    </row>
    <row r="13996" spans="1:2" x14ac:dyDescent="0.2">
      <c r="A13996" t="str">
        <f>"RRAGC"</f>
        <v>RRAGC</v>
      </c>
      <c r="B13996" t="s">
        <v>6</v>
      </c>
    </row>
    <row r="13997" spans="1:2" x14ac:dyDescent="0.2">
      <c r="A13997" t="str">
        <f>"RRAGD"</f>
        <v>RRAGD</v>
      </c>
      <c r="B13997" t="s">
        <v>2</v>
      </c>
    </row>
    <row r="13998" spans="1:2" x14ac:dyDescent="0.2">
      <c r="A13998" t="str">
        <f>"RRAS"</f>
        <v>RRAS</v>
      </c>
      <c r="B13998" t="s">
        <v>3</v>
      </c>
    </row>
    <row r="13999" spans="1:2" x14ac:dyDescent="0.2">
      <c r="A13999" t="str">
        <f>"RRAS2"</f>
        <v>RRAS2</v>
      </c>
      <c r="B13999" t="s">
        <v>3</v>
      </c>
    </row>
    <row r="14000" spans="1:2" x14ac:dyDescent="0.2">
      <c r="A14000" t="str">
        <f>"RRBP1"</f>
        <v>RRBP1</v>
      </c>
      <c r="B14000" t="s">
        <v>6</v>
      </c>
    </row>
    <row r="14001" spans="1:2" x14ac:dyDescent="0.2">
      <c r="A14001" t="str">
        <f>"RREB1"</f>
        <v>RREB1</v>
      </c>
      <c r="B14001" t="s">
        <v>2</v>
      </c>
    </row>
    <row r="14002" spans="1:2" x14ac:dyDescent="0.2">
      <c r="A14002" t="str">
        <f>"RRH"</f>
        <v>RRH</v>
      </c>
      <c r="B14002" t="s">
        <v>5</v>
      </c>
    </row>
    <row r="14003" spans="1:2" x14ac:dyDescent="0.2">
      <c r="A14003" t="str">
        <f>"RRM1"</f>
        <v>RRM1</v>
      </c>
      <c r="B14003" t="s">
        <v>3</v>
      </c>
    </row>
    <row r="14004" spans="1:2" x14ac:dyDescent="0.2">
      <c r="A14004" t="str">
        <f>"RRM2"</f>
        <v>RRM2</v>
      </c>
      <c r="B14004" t="s">
        <v>3</v>
      </c>
    </row>
    <row r="14005" spans="1:2" x14ac:dyDescent="0.2">
      <c r="A14005" t="str">
        <f>"RRM2B"</f>
        <v>RRM2B</v>
      </c>
      <c r="B14005" t="s">
        <v>3</v>
      </c>
    </row>
    <row r="14006" spans="1:2" x14ac:dyDescent="0.2">
      <c r="A14006" t="str">
        <f>"RRN3"</f>
        <v>RRN3</v>
      </c>
      <c r="B14006" t="s">
        <v>8</v>
      </c>
    </row>
    <row r="14007" spans="1:2" x14ac:dyDescent="0.2">
      <c r="A14007" t="str">
        <f>"RRNAD1"</f>
        <v>RRNAD1</v>
      </c>
      <c r="B14007" t="s">
        <v>4</v>
      </c>
    </row>
    <row r="14008" spans="1:2" x14ac:dyDescent="0.2">
      <c r="A14008" t="str">
        <f>"RRP1"</f>
        <v>RRP1</v>
      </c>
      <c r="B14008" t="s">
        <v>8</v>
      </c>
    </row>
    <row r="14009" spans="1:2" x14ac:dyDescent="0.2">
      <c r="A14009" t="str">
        <f>"RRP12"</f>
        <v>RRP12</v>
      </c>
      <c r="B14009" t="s">
        <v>8</v>
      </c>
    </row>
    <row r="14010" spans="1:2" x14ac:dyDescent="0.2">
      <c r="A14010" t="str">
        <f>"RRP15"</f>
        <v>RRP15</v>
      </c>
      <c r="B14010" t="s">
        <v>6</v>
      </c>
    </row>
    <row r="14011" spans="1:2" x14ac:dyDescent="0.2">
      <c r="A14011" t="str">
        <f>"RRP1B"</f>
        <v>RRP1B</v>
      </c>
      <c r="B14011" t="s">
        <v>8</v>
      </c>
    </row>
    <row r="14012" spans="1:2" x14ac:dyDescent="0.2">
      <c r="A14012" t="str">
        <f>"RRP36"</f>
        <v>RRP36</v>
      </c>
      <c r="B14012" t="s">
        <v>8</v>
      </c>
    </row>
    <row r="14013" spans="1:2" x14ac:dyDescent="0.2">
      <c r="A14013" t="str">
        <f>"RRP7A"</f>
        <v>RRP7A</v>
      </c>
      <c r="B14013" t="s">
        <v>8</v>
      </c>
    </row>
    <row r="14014" spans="1:2" x14ac:dyDescent="0.2">
      <c r="A14014" t="str">
        <f>"RRP8"</f>
        <v>RRP8</v>
      </c>
      <c r="B14014" t="s">
        <v>2</v>
      </c>
    </row>
    <row r="14015" spans="1:2" x14ac:dyDescent="0.2">
      <c r="A14015" t="str">
        <f>"RRP9"</f>
        <v>RRP9</v>
      </c>
      <c r="B14015" t="s">
        <v>8</v>
      </c>
    </row>
    <row r="14016" spans="1:2" x14ac:dyDescent="0.2">
      <c r="A14016" t="str">
        <f>"RRS1"</f>
        <v>RRS1</v>
      </c>
      <c r="B14016" t="s">
        <v>8</v>
      </c>
    </row>
    <row r="14017" spans="1:2" x14ac:dyDescent="0.2">
      <c r="A14017" t="str">
        <f>"RS1"</f>
        <v>RS1</v>
      </c>
      <c r="B14017" t="s">
        <v>4</v>
      </c>
    </row>
    <row r="14018" spans="1:2" x14ac:dyDescent="0.2">
      <c r="A14018" t="str">
        <f>"RSAD1"</f>
        <v>RSAD1</v>
      </c>
      <c r="B14018" t="s">
        <v>6</v>
      </c>
    </row>
    <row r="14019" spans="1:2" x14ac:dyDescent="0.2">
      <c r="A14019" t="str">
        <f>"RSAD2"</f>
        <v>RSAD2</v>
      </c>
      <c r="B14019" t="s">
        <v>6</v>
      </c>
    </row>
    <row r="14020" spans="1:2" x14ac:dyDescent="0.2">
      <c r="A14020" t="str">
        <f>"RSBN1"</f>
        <v>RSBN1</v>
      </c>
      <c r="B14020" t="s">
        <v>4</v>
      </c>
    </row>
    <row r="14021" spans="1:2" x14ac:dyDescent="0.2">
      <c r="A14021" t="str">
        <f>"RSBN1L"</f>
        <v>RSBN1L</v>
      </c>
      <c r="B14021" t="s">
        <v>4</v>
      </c>
    </row>
    <row r="14022" spans="1:2" x14ac:dyDescent="0.2">
      <c r="A14022" t="str">
        <f>"RSC1A1"</f>
        <v>RSC1A1</v>
      </c>
      <c r="B14022" t="s">
        <v>2</v>
      </c>
    </row>
    <row r="14023" spans="1:2" x14ac:dyDescent="0.2">
      <c r="A14023" t="str">
        <f>"RSF1"</f>
        <v>RSF1</v>
      </c>
      <c r="B14023" t="s">
        <v>8</v>
      </c>
    </row>
    <row r="14024" spans="1:2" x14ac:dyDescent="0.2">
      <c r="A14024" t="str">
        <f>"RSG1"</f>
        <v>RSG1</v>
      </c>
      <c r="B14024" t="s">
        <v>4</v>
      </c>
    </row>
    <row r="14025" spans="1:2" x14ac:dyDescent="0.2">
      <c r="A14025" t="str">
        <f>"RSL1D1"</f>
        <v>RSL1D1</v>
      </c>
      <c r="B14025" t="s">
        <v>8</v>
      </c>
    </row>
    <row r="14026" spans="1:2" x14ac:dyDescent="0.2">
      <c r="A14026" t="str">
        <f>"RSL24D1"</f>
        <v>RSL24D1</v>
      </c>
      <c r="B14026" t="s">
        <v>7</v>
      </c>
    </row>
    <row r="14027" spans="1:2" x14ac:dyDescent="0.2">
      <c r="A14027" t="str">
        <f>"RSPH1"</f>
        <v>RSPH1</v>
      </c>
      <c r="B14027" t="s">
        <v>4</v>
      </c>
    </row>
    <row r="14028" spans="1:2" x14ac:dyDescent="0.2">
      <c r="A14028" t="str">
        <f>"RSPH10B"</f>
        <v>RSPH10B</v>
      </c>
      <c r="B14028" t="s">
        <v>3</v>
      </c>
    </row>
    <row r="14029" spans="1:2" x14ac:dyDescent="0.2">
      <c r="A14029" t="str">
        <f>"RSPH10B2"</f>
        <v>RSPH10B2</v>
      </c>
      <c r="B14029" t="s">
        <v>4</v>
      </c>
    </row>
    <row r="14030" spans="1:2" x14ac:dyDescent="0.2">
      <c r="A14030" t="str">
        <f>"RSPH3"</f>
        <v>RSPH3</v>
      </c>
      <c r="B14030" t="s">
        <v>4</v>
      </c>
    </row>
    <row r="14031" spans="1:2" x14ac:dyDescent="0.2">
      <c r="A14031" t="str">
        <f>"RSPH4A"</f>
        <v>RSPH4A</v>
      </c>
      <c r="B14031" t="s">
        <v>8</v>
      </c>
    </row>
    <row r="14032" spans="1:2" x14ac:dyDescent="0.2">
      <c r="A14032" t="str">
        <f>"RSPH6A"</f>
        <v>RSPH6A</v>
      </c>
      <c r="B14032" t="s">
        <v>4</v>
      </c>
    </row>
    <row r="14033" spans="1:2" x14ac:dyDescent="0.2">
      <c r="A14033" t="str">
        <f>"RSPH9"</f>
        <v>RSPH9</v>
      </c>
      <c r="B14033" t="s">
        <v>2</v>
      </c>
    </row>
    <row r="14034" spans="1:2" x14ac:dyDescent="0.2">
      <c r="A14034" t="str">
        <f>"RSPO1"</f>
        <v>RSPO1</v>
      </c>
      <c r="B14034" t="s">
        <v>2</v>
      </c>
    </row>
    <row r="14035" spans="1:2" x14ac:dyDescent="0.2">
      <c r="A14035" t="str">
        <f>"RSPO2"</f>
        <v>RSPO2</v>
      </c>
      <c r="B14035" t="s">
        <v>6</v>
      </c>
    </row>
    <row r="14036" spans="1:2" x14ac:dyDescent="0.2">
      <c r="A14036" t="str">
        <f>"RSPO3"</f>
        <v>RSPO3</v>
      </c>
      <c r="B14036" t="s">
        <v>6</v>
      </c>
    </row>
    <row r="14037" spans="1:2" x14ac:dyDescent="0.2">
      <c r="A14037" t="str">
        <f>"RSPO4"</f>
        <v>RSPO4</v>
      </c>
      <c r="B14037" t="s">
        <v>4</v>
      </c>
    </row>
    <row r="14038" spans="1:2" x14ac:dyDescent="0.2">
      <c r="A14038" t="str">
        <f>"RSPRY1"</f>
        <v>RSPRY1</v>
      </c>
      <c r="B14038" t="s">
        <v>2</v>
      </c>
    </row>
    <row r="14039" spans="1:2" x14ac:dyDescent="0.2">
      <c r="A14039" t="str">
        <f>"RSRC1"</f>
        <v>RSRC1</v>
      </c>
      <c r="B14039" t="s">
        <v>8</v>
      </c>
    </row>
    <row r="14040" spans="1:2" x14ac:dyDescent="0.2">
      <c r="A14040" t="str">
        <f>"RSRC2"</f>
        <v>RSRC2</v>
      </c>
      <c r="B14040" t="s">
        <v>4</v>
      </c>
    </row>
    <row r="14041" spans="1:2" x14ac:dyDescent="0.2">
      <c r="A14041" t="str">
        <f>"RSU1"</f>
        <v>RSU1</v>
      </c>
      <c r="B14041" t="s">
        <v>6</v>
      </c>
    </row>
    <row r="14042" spans="1:2" x14ac:dyDescent="0.2">
      <c r="A14042" t="str">
        <f>"RTBDN"</f>
        <v>RTBDN</v>
      </c>
      <c r="B14042" t="s">
        <v>4</v>
      </c>
    </row>
    <row r="14043" spans="1:2" x14ac:dyDescent="0.2">
      <c r="A14043" t="str">
        <f>"RTCA"</f>
        <v>RTCA</v>
      </c>
      <c r="B14043" t="s">
        <v>7</v>
      </c>
    </row>
    <row r="14044" spans="1:2" x14ac:dyDescent="0.2">
      <c r="A14044" t="str">
        <f>"RTCB"</f>
        <v>RTCB</v>
      </c>
      <c r="B14044" t="s">
        <v>4</v>
      </c>
    </row>
    <row r="14045" spans="1:2" x14ac:dyDescent="0.2">
      <c r="A14045" t="str">
        <f>"RTDR1"</f>
        <v>RTDR1</v>
      </c>
      <c r="B14045" t="s">
        <v>4</v>
      </c>
    </row>
    <row r="14046" spans="1:2" x14ac:dyDescent="0.2">
      <c r="A14046" t="str">
        <f>"RTEL1"</f>
        <v>RTEL1</v>
      </c>
      <c r="B14046" t="s">
        <v>3</v>
      </c>
    </row>
    <row r="14047" spans="1:2" x14ac:dyDescent="0.2">
      <c r="A14047" t="str">
        <f>"RTF1"</f>
        <v>RTF1</v>
      </c>
      <c r="B14047" t="s">
        <v>8</v>
      </c>
    </row>
    <row r="14048" spans="1:2" x14ac:dyDescent="0.2">
      <c r="A14048" t="str">
        <f>"RTFDC1"</f>
        <v>RTFDC1</v>
      </c>
      <c r="B14048" t="s">
        <v>4</v>
      </c>
    </row>
    <row r="14049" spans="1:2" x14ac:dyDescent="0.2">
      <c r="A14049" t="str">
        <f>"RTKN"</f>
        <v>RTKN</v>
      </c>
      <c r="B14049" t="s">
        <v>4</v>
      </c>
    </row>
    <row r="14050" spans="1:2" x14ac:dyDescent="0.2">
      <c r="A14050" t="str">
        <f>"RTKN2"</f>
        <v>RTKN2</v>
      </c>
      <c r="B14050" t="s">
        <v>4</v>
      </c>
    </row>
    <row r="14051" spans="1:2" x14ac:dyDescent="0.2">
      <c r="A14051" t="str">
        <f>"RTL1"</f>
        <v>RTL1</v>
      </c>
      <c r="B14051" t="s">
        <v>2</v>
      </c>
    </row>
    <row r="14052" spans="1:2" x14ac:dyDescent="0.2">
      <c r="A14052" t="str">
        <f>"RTN1"</f>
        <v>RTN1</v>
      </c>
      <c r="B14052" t="s">
        <v>6</v>
      </c>
    </row>
    <row r="14053" spans="1:2" x14ac:dyDescent="0.2">
      <c r="A14053" t="str">
        <f>"RTN2"</f>
        <v>RTN2</v>
      </c>
      <c r="B14053" t="s">
        <v>6</v>
      </c>
    </row>
    <row r="14054" spans="1:2" x14ac:dyDescent="0.2">
      <c r="A14054" t="str">
        <f>"RTN3"</f>
        <v>RTN3</v>
      </c>
      <c r="B14054" t="s">
        <v>2</v>
      </c>
    </row>
    <row r="14055" spans="1:2" x14ac:dyDescent="0.2">
      <c r="A14055" t="str">
        <f>"RTN4"</f>
        <v>RTN4</v>
      </c>
      <c r="B14055" t="s">
        <v>3</v>
      </c>
    </row>
    <row r="14056" spans="1:2" x14ac:dyDescent="0.2">
      <c r="A14056" t="str">
        <f>"RTN4IP1"</f>
        <v>RTN4IP1</v>
      </c>
      <c r="B14056" t="s">
        <v>6</v>
      </c>
    </row>
    <row r="14057" spans="1:2" x14ac:dyDescent="0.2">
      <c r="A14057" t="str">
        <f>"RTN4R"</f>
        <v>RTN4R</v>
      </c>
      <c r="B14057" t="s">
        <v>3</v>
      </c>
    </row>
    <row r="14058" spans="1:2" x14ac:dyDescent="0.2">
      <c r="A14058" t="str">
        <f>"RTN4RL1"</f>
        <v>RTN4RL1</v>
      </c>
      <c r="B14058" t="s">
        <v>2</v>
      </c>
    </row>
    <row r="14059" spans="1:2" x14ac:dyDescent="0.2">
      <c r="A14059" t="str">
        <f>"RTN4RL2"</f>
        <v>RTN4RL2</v>
      </c>
      <c r="B14059" t="s">
        <v>2</v>
      </c>
    </row>
    <row r="14060" spans="1:2" x14ac:dyDescent="0.2">
      <c r="A14060" t="str">
        <f>"RTP1"</f>
        <v>RTP1</v>
      </c>
      <c r="B14060" t="s">
        <v>5</v>
      </c>
    </row>
    <row r="14061" spans="1:2" x14ac:dyDescent="0.2">
      <c r="A14061" t="str">
        <f>"RTP2"</f>
        <v>RTP2</v>
      </c>
      <c r="B14061" t="s">
        <v>5</v>
      </c>
    </row>
    <row r="14062" spans="1:2" x14ac:dyDescent="0.2">
      <c r="A14062" t="str">
        <f>"RTP3"</f>
        <v>RTP3</v>
      </c>
      <c r="B14062" t="s">
        <v>5</v>
      </c>
    </row>
    <row r="14063" spans="1:2" x14ac:dyDescent="0.2">
      <c r="A14063" t="str">
        <f>"RTP4"</f>
        <v>RTP4</v>
      </c>
      <c r="B14063" t="s">
        <v>6</v>
      </c>
    </row>
    <row r="14064" spans="1:2" x14ac:dyDescent="0.2">
      <c r="A14064" t="str">
        <f>"RTTN"</f>
        <v>RTTN</v>
      </c>
      <c r="B14064" t="s">
        <v>4</v>
      </c>
    </row>
    <row r="14065" spans="1:2" x14ac:dyDescent="0.2">
      <c r="A14065" t="str">
        <f>"RUFY1"</f>
        <v>RUFY1</v>
      </c>
      <c r="B14065" t="s">
        <v>6</v>
      </c>
    </row>
    <row r="14066" spans="1:2" x14ac:dyDescent="0.2">
      <c r="A14066" t="str">
        <f>"RUFY2"</f>
        <v>RUFY2</v>
      </c>
      <c r="B14066" t="s">
        <v>5</v>
      </c>
    </row>
    <row r="14067" spans="1:2" x14ac:dyDescent="0.2">
      <c r="A14067" t="str">
        <f>"RUFY3"</f>
        <v>RUFY3</v>
      </c>
      <c r="B14067" t="s">
        <v>4</v>
      </c>
    </row>
    <row r="14068" spans="1:2" x14ac:dyDescent="0.2">
      <c r="A14068" t="str">
        <f>"RUFY4"</f>
        <v>RUFY4</v>
      </c>
      <c r="B14068" t="s">
        <v>4</v>
      </c>
    </row>
    <row r="14069" spans="1:2" x14ac:dyDescent="0.2">
      <c r="A14069" t="str">
        <f>"RUNDC1"</f>
        <v>RUNDC1</v>
      </c>
      <c r="B14069" t="s">
        <v>4</v>
      </c>
    </row>
    <row r="14070" spans="1:2" x14ac:dyDescent="0.2">
      <c r="A14070" t="str">
        <f>"RUNDC3A"</f>
        <v>RUNDC3A</v>
      </c>
      <c r="B14070" t="s">
        <v>4</v>
      </c>
    </row>
    <row r="14071" spans="1:2" x14ac:dyDescent="0.2">
      <c r="A14071" t="str">
        <f>"RUNDC3B"</f>
        <v>RUNDC3B</v>
      </c>
      <c r="B14071" t="s">
        <v>4</v>
      </c>
    </row>
    <row r="14072" spans="1:2" x14ac:dyDescent="0.2">
      <c r="A14072" t="str">
        <f>"RUNX1"</f>
        <v>RUNX1</v>
      </c>
      <c r="B14072" t="s">
        <v>3</v>
      </c>
    </row>
    <row r="14073" spans="1:2" x14ac:dyDescent="0.2">
      <c r="A14073" t="str">
        <f>"RUNX1T1"</f>
        <v>RUNX1T1</v>
      </c>
      <c r="B14073" t="s">
        <v>3</v>
      </c>
    </row>
    <row r="14074" spans="1:2" x14ac:dyDescent="0.2">
      <c r="A14074" t="str">
        <f>"RUNX2"</f>
        <v>RUNX2</v>
      </c>
      <c r="B14074" t="s">
        <v>3</v>
      </c>
    </row>
    <row r="14075" spans="1:2" x14ac:dyDescent="0.2">
      <c r="A14075" t="str">
        <f>"RUNX3"</f>
        <v>RUNX3</v>
      </c>
      <c r="B14075" t="s">
        <v>3</v>
      </c>
    </row>
    <row r="14076" spans="1:2" x14ac:dyDescent="0.2">
      <c r="A14076" t="str">
        <f>"RUSC1"</f>
        <v>RUSC1</v>
      </c>
      <c r="B14076" t="s">
        <v>4</v>
      </c>
    </row>
    <row r="14077" spans="1:2" x14ac:dyDescent="0.2">
      <c r="A14077" t="str">
        <f>"RUSC1-AS1"</f>
        <v>RUSC1-AS1</v>
      </c>
      <c r="B14077" t="s">
        <v>4</v>
      </c>
    </row>
    <row r="14078" spans="1:2" x14ac:dyDescent="0.2">
      <c r="A14078" t="str">
        <f>"RUSC2"</f>
        <v>RUSC2</v>
      </c>
      <c r="B14078" t="s">
        <v>4</v>
      </c>
    </row>
    <row r="14079" spans="1:2" x14ac:dyDescent="0.2">
      <c r="A14079" t="str">
        <f>"RUVBL1"</f>
        <v>RUVBL1</v>
      </c>
      <c r="B14079" t="s">
        <v>3</v>
      </c>
    </row>
    <row r="14080" spans="1:2" x14ac:dyDescent="0.2">
      <c r="A14080" t="str">
        <f>"RUVBL2"</f>
        <v>RUVBL2</v>
      </c>
      <c r="B14080" t="s">
        <v>2</v>
      </c>
    </row>
    <row r="14081" spans="1:2" x14ac:dyDescent="0.2">
      <c r="A14081" t="str">
        <f>"RWDD1"</f>
        <v>RWDD1</v>
      </c>
      <c r="B14081" t="s">
        <v>8</v>
      </c>
    </row>
    <row r="14082" spans="1:2" x14ac:dyDescent="0.2">
      <c r="A14082" t="str">
        <f>"RWDD2A"</f>
        <v>RWDD2A</v>
      </c>
      <c r="B14082" t="s">
        <v>2</v>
      </c>
    </row>
    <row r="14083" spans="1:2" x14ac:dyDescent="0.2">
      <c r="A14083" t="str">
        <f>"RWDD2B"</f>
        <v>RWDD2B</v>
      </c>
      <c r="B14083" t="s">
        <v>8</v>
      </c>
    </row>
    <row r="14084" spans="1:2" x14ac:dyDescent="0.2">
      <c r="A14084" t="str">
        <f>"RWDD3"</f>
        <v>RWDD3</v>
      </c>
      <c r="B14084" t="s">
        <v>4</v>
      </c>
    </row>
    <row r="14085" spans="1:2" x14ac:dyDescent="0.2">
      <c r="A14085" t="str">
        <f>"RWDD4"</f>
        <v>RWDD4</v>
      </c>
      <c r="B14085" t="s">
        <v>8</v>
      </c>
    </row>
    <row r="14086" spans="1:2" x14ac:dyDescent="0.2">
      <c r="A14086" t="str">
        <f>"RXFP1"</f>
        <v>RXFP1</v>
      </c>
      <c r="B14086" t="s">
        <v>5</v>
      </c>
    </row>
    <row r="14087" spans="1:2" x14ac:dyDescent="0.2">
      <c r="A14087" t="str">
        <f>"RXFP2"</f>
        <v>RXFP2</v>
      </c>
      <c r="B14087" t="s">
        <v>5</v>
      </c>
    </row>
    <row r="14088" spans="1:2" x14ac:dyDescent="0.2">
      <c r="A14088" t="str">
        <f>"RXFP3"</f>
        <v>RXFP3</v>
      </c>
      <c r="B14088" t="s">
        <v>5</v>
      </c>
    </row>
    <row r="14089" spans="1:2" x14ac:dyDescent="0.2">
      <c r="A14089" t="str">
        <f>"RXFP4"</f>
        <v>RXFP4</v>
      </c>
      <c r="B14089" t="s">
        <v>5</v>
      </c>
    </row>
    <row r="14090" spans="1:2" x14ac:dyDescent="0.2">
      <c r="A14090" t="str">
        <f>"RXRA"</f>
        <v>RXRA</v>
      </c>
      <c r="B14090" t="s">
        <v>7</v>
      </c>
    </row>
    <row r="14091" spans="1:2" x14ac:dyDescent="0.2">
      <c r="A14091" t="str">
        <f>"RXRB"</f>
        <v>RXRB</v>
      </c>
      <c r="B14091" t="s">
        <v>7</v>
      </c>
    </row>
    <row r="14092" spans="1:2" x14ac:dyDescent="0.2">
      <c r="A14092" t="str">
        <f>"RXRG"</f>
        <v>RXRG</v>
      </c>
      <c r="B14092" t="s">
        <v>7</v>
      </c>
    </row>
    <row r="14093" spans="1:2" x14ac:dyDescent="0.2">
      <c r="A14093" t="str">
        <f>"RYBP"</f>
        <v>RYBP</v>
      </c>
      <c r="B14093" t="s">
        <v>8</v>
      </c>
    </row>
    <row r="14094" spans="1:2" x14ac:dyDescent="0.2">
      <c r="A14094" t="str">
        <f>"RYK"</f>
        <v>RYK</v>
      </c>
      <c r="B14094" t="s">
        <v>7</v>
      </c>
    </row>
    <row r="14095" spans="1:2" x14ac:dyDescent="0.2">
      <c r="A14095" t="str">
        <f>"RYR1"</f>
        <v>RYR1</v>
      </c>
      <c r="B14095" t="s">
        <v>7</v>
      </c>
    </row>
    <row r="14096" spans="1:2" x14ac:dyDescent="0.2">
      <c r="A14096" t="str">
        <f>"RYR2"</f>
        <v>RYR2</v>
      </c>
      <c r="B14096" t="s">
        <v>6</v>
      </c>
    </row>
    <row r="14097" spans="1:2" x14ac:dyDescent="0.2">
      <c r="A14097" t="str">
        <f>"RYR3"</f>
        <v>RYR3</v>
      </c>
      <c r="B14097" t="s">
        <v>3</v>
      </c>
    </row>
    <row r="14098" spans="1:2" x14ac:dyDescent="0.2">
      <c r="A14098" t="str">
        <f>"S100A1"</f>
        <v>S100A1</v>
      </c>
      <c r="B14098" t="s">
        <v>7</v>
      </c>
    </row>
    <row r="14099" spans="1:2" x14ac:dyDescent="0.2">
      <c r="A14099" t="str">
        <f>"S100A10"</f>
        <v>S100A10</v>
      </c>
      <c r="B14099" t="s">
        <v>5</v>
      </c>
    </row>
    <row r="14100" spans="1:2" x14ac:dyDescent="0.2">
      <c r="A14100" t="str">
        <f>"S100A11"</f>
        <v>S100A11</v>
      </c>
      <c r="B14100" t="s">
        <v>7</v>
      </c>
    </row>
    <row r="14101" spans="1:2" x14ac:dyDescent="0.2">
      <c r="A14101" t="str">
        <f>"S100A12"</f>
        <v>S100A12</v>
      </c>
      <c r="B14101" t="s">
        <v>7</v>
      </c>
    </row>
    <row r="14102" spans="1:2" x14ac:dyDescent="0.2">
      <c r="A14102" t="str">
        <f>"S100A13"</f>
        <v>S100A13</v>
      </c>
      <c r="B14102" t="s">
        <v>7</v>
      </c>
    </row>
    <row r="14103" spans="1:2" x14ac:dyDescent="0.2">
      <c r="A14103" t="str">
        <f>"S100A14"</f>
        <v>S100A14</v>
      </c>
      <c r="B14103" t="s">
        <v>4</v>
      </c>
    </row>
    <row r="14104" spans="1:2" x14ac:dyDescent="0.2">
      <c r="A14104" t="str">
        <f>"S100A16"</f>
        <v>S100A16</v>
      </c>
      <c r="B14104" t="s">
        <v>4</v>
      </c>
    </row>
    <row r="14105" spans="1:2" x14ac:dyDescent="0.2">
      <c r="A14105" t="str">
        <f>"S100A2"</f>
        <v>S100A2</v>
      </c>
      <c r="B14105" t="s">
        <v>7</v>
      </c>
    </row>
    <row r="14106" spans="1:2" x14ac:dyDescent="0.2">
      <c r="A14106" t="str">
        <f>"S100A3"</f>
        <v>S100A3</v>
      </c>
      <c r="B14106" t="s">
        <v>4</v>
      </c>
    </row>
    <row r="14107" spans="1:2" x14ac:dyDescent="0.2">
      <c r="A14107" t="str">
        <f>"S100A4"</f>
        <v>S100A4</v>
      </c>
      <c r="B14107" t="s">
        <v>7</v>
      </c>
    </row>
    <row r="14108" spans="1:2" x14ac:dyDescent="0.2">
      <c r="A14108" t="str">
        <f>"S100A5"</f>
        <v>S100A5</v>
      </c>
      <c r="B14108" t="s">
        <v>4</v>
      </c>
    </row>
    <row r="14109" spans="1:2" x14ac:dyDescent="0.2">
      <c r="A14109" t="str">
        <f>"S100A6"</f>
        <v>S100A6</v>
      </c>
      <c r="B14109" t="s">
        <v>3</v>
      </c>
    </row>
    <row r="14110" spans="1:2" x14ac:dyDescent="0.2">
      <c r="A14110" t="str">
        <f>"S100A7"</f>
        <v>S100A7</v>
      </c>
      <c r="B14110" t="s">
        <v>7</v>
      </c>
    </row>
    <row r="14111" spans="1:2" x14ac:dyDescent="0.2">
      <c r="A14111" t="str">
        <f>"S100A7A"</f>
        <v>S100A7A</v>
      </c>
      <c r="B14111" t="s">
        <v>3</v>
      </c>
    </row>
    <row r="14112" spans="1:2" x14ac:dyDescent="0.2">
      <c r="A14112" t="str">
        <f>"S100A7L2"</f>
        <v>S100A7L2</v>
      </c>
      <c r="B14112" t="s">
        <v>4</v>
      </c>
    </row>
    <row r="14113" spans="1:2" x14ac:dyDescent="0.2">
      <c r="A14113" t="str">
        <f>"S100A8"</f>
        <v>S100A8</v>
      </c>
      <c r="B14113" t="s">
        <v>3</v>
      </c>
    </row>
    <row r="14114" spans="1:2" x14ac:dyDescent="0.2">
      <c r="A14114" t="str">
        <f>"S100A9"</f>
        <v>S100A9</v>
      </c>
      <c r="B14114" t="s">
        <v>6</v>
      </c>
    </row>
    <row r="14115" spans="1:2" x14ac:dyDescent="0.2">
      <c r="A14115" t="str">
        <f>"S100B"</f>
        <v>S100B</v>
      </c>
      <c r="B14115" t="s">
        <v>7</v>
      </c>
    </row>
    <row r="14116" spans="1:2" x14ac:dyDescent="0.2">
      <c r="A14116" t="str">
        <f>"S100G"</f>
        <v>S100G</v>
      </c>
      <c r="B14116" t="s">
        <v>7</v>
      </c>
    </row>
    <row r="14117" spans="1:2" x14ac:dyDescent="0.2">
      <c r="A14117" t="str">
        <f>"S100P"</f>
        <v>S100P</v>
      </c>
      <c r="B14117" t="s">
        <v>7</v>
      </c>
    </row>
    <row r="14118" spans="1:2" x14ac:dyDescent="0.2">
      <c r="A14118" t="str">
        <f>"S100PBP"</f>
        <v>S100PBP</v>
      </c>
      <c r="B14118" t="s">
        <v>4</v>
      </c>
    </row>
    <row r="14119" spans="1:2" x14ac:dyDescent="0.2">
      <c r="A14119" t="str">
        <f>"S100Z"</f>
        <v>S100Z</v>
      </c>
      <c r="B14119" t="s">
        <v>4</v>
      </c>
    </row>
    <row r="14120" spans="1:2" x14ac:dyDescent="0.2">
      <c r="A14120" t="str">
        <f>"S1PR1"</f>
        <v>S1PR1</v>
      </c>
      <c r="B14120" t="s">
        <v>3</v>
      </c>
    </row>
    <row r="14121" spans="1:2" x14ac:dyDescent="0.2">
      <c r="A14121" t="str">
        <f>"S1PR2"</f>
        <v>S1PR2</v>
      </c>
      <c r="B14121" t="s">
        <v>6</v>
      </c>
    </row>
    <row r="14122" spans="1:2" x14ac:dyDescent="0.2">
      <c r="A14122" t="str">
        <f>"S1PR3"</f>
        <v>S1PR3</v>
      </c>
      <c r="B14122" t="s">
        <v>2</v>
      </c>
    </row>
    <row r="14123" spans="1:2" x14ac:dyDescent="0.2">
      <c r="A14123" t="str">
        <f>"S1PR4"</f>
        <v>S1PR4</v>
      </c>
      <c r="B14123" t="s">
        <v>6</v>
      </c>
    </row>
    <row r="14124" spans="1:2" x14ac:dyDescent="0.2">
      <c r="A14124" t="str">
        <f>"S1PR5"</f>
        <v>S1PR5</v>
      </c>
      <c r="B14124" t="s">
        <v>5</v>
      </c>
    </row>
    <row r="14125" spans="1:2" x14ac:dyDescent="0.2">
      <c r="A14125" t="str">
        <f>"SAA1"</f>
        <v>SAA1</v>
      </c>
      <c r="B14125" t="s">
        <v>7</v>
      </c>
    </row>
    <row r="14126" spans="1:2" x14ac:dyDescent="0.2">
      <c r="A14126" t="str">
        <f>"SAA2"</f>
        <v>SAA2</v>
      </c>
      <c r="B14126" t="s">
        <v>6</v>
      </c>
    </row>
    <row r="14127" spans="1:2" x14ac:dyDescent="0.2">
      <c r="A14127" t="str">
        <f>"SAA2-SAA4"</f>
        <v>SAA2-SAA4</v>
      </c>
      <c r="B14127" t="s">
        <v>4</v>
      </c>
    </row>
    <row r="14128" spans="1:2" x14ac:dyDescent="0.2">
      <c r="A14128" t="str">
        <f>"SAA4"</f>
        <v>SAA4</v>
      </c>
      <c r="B14128" t="s">
        <v>6</v>
      </c>
    </row>
    <row r="14129" spans="1:2" x14ac:dyDescent="0.2">
      <c r="A14129" t="str">
        <f>"SAAL1"</f>
        <v>SAAL1</v>
      </c>
      <c r="B14129" t="s">
        <v>4</v>
      </c>
    </row>
    <row r="14130" spans="1:2" x14ac:dyDescent="0.2">
      <c r="A14130" t="str">
        <f>"SAC3D1"</f>
        <v>SAC3D1</v>
      </c>
      <c r="B14130" t="s">
        <v>3</v>
      </c>
    </row>
    <row r="14131" spans="1:2" x14ac:dyDescent="0.2">
      <c r="A14131" t="str">
        <f>"SACM1L"</f>
        <v>SACM1L</v>
      </c>
      <c r="B14131" t="s">
        <v>7</v>
      </c>
    </row>
    <row r="14132" spans="1:2" x14ac:dyDescent="0.2">
      <c r="A14132" t="str">
        <f>"SACS"</f>
        <v>SACS</v>
      </c>
      <c r="B14132" t="s">
        <v>3</v>
      </c>
    </row>
    <row r="14133" spans="1:2" x14ac:dyDescent="0.2">
      <c r="A14133" t="str">
        <f>"SAE1"</f>
        <v>SAE1</v>
      </c>
      <c r="B14133" t="s">
        <v>3</v>
      </c>
    </row>
    <row r="14134" spans="1:2" x14ac:dyDescent="0.2">
      <c r="A14134" t="str">
        <f>"SAFB"</f>
        <v>SAFB</v>
      </c>
      <c r="B14134" t="s">
        <v>3</v>
      </c>
    </row>
    <row r="14135" spans="1:2" x14ac:dyDescent="0.2">
      <c r="A14135" t="str">
        <f>"SAFB2"</f>
        <v>SAFB2</v>
      </c>
      <c r="B14135" t="s">
        <v>8</v>
      </c>
    </row>
    <row r="14136" spans="1:2" x14ac:dyDescent="0.2">
      <c r="A14136" t="str">
        <f>"SAG"</f>
        <v>SAG</v>
      </c>
      <c r="B14136" t="s">
        <v>5</v>
      </c>
    </row>
    <row r="14137" spans="1:2" x14ac:dyDescent="0.2">
      <c r="A14137" t="str">
        <f>"SAGE1"</f>
        <v>SAGE1</v>
      </c>
      <c r="B14137" t="s">
        <v>4</v>
      </c>
    </row>
    <row r="14138" spans="1:2" x14ac:dyDescent="0.2">
      <c r="A14138" t="str">
        <f>"SALL1"</f>
        <v>SALL1</v>
      </c>
      <c r="B14138" t="s">
        <v>8</v>
      </c>
    </row>
    <row r="14139" spans="1:2" x14ac:dyDescent="0.2">
      <c r="A14139" t="str">
        <f>"SALL2"</f>
        <v>SALL2</v>
      </c>
      <c r="B14139" t="s">
        <v>8</v>
      </c>
    </row>
    <row r="14140" spans="1:2" x14ac:dyDescent="0.2">
      <c r="A14140" t="str">
        <f>"SALL3"</f>
        <v>SALL3</v>
      </c>
      <c r="B14140" t="s">
        <v>8</v>
      </c>
    </row>
    <row r="14141" spans="1:2" x14ac:dyDescent="0.2">
      <c r="A14141" t="str">
        <f>"SALL4"</f>
        <v>SALL4</v>
      </c>
      <c r="B14141" t="s">
        <v>8</v>
      </c>
    </row>
    <row r="14142" spans="1:2" x14ac:dyDescent="0.2">
      <c r="A14142" t="str">
        <f>"SAMD1"</f>
        <v>SAMD1</v>
      </c>
      <c r="B14142" t="s">
        <v>4</v>
      </c>
    </row>
    <row r="14143" spans="1:2" x14ac:dyDescent="0.2">
      <c r="A14143" t="str">
        <f>"SAMD10"</f>
        <v>SAMD10</v>
      </c>
      <c r="B14143" t="s">
        <v>4</v>
      </c>
    </row>
    <row r="14144" spans="1:2" x14ac:dyDescent="0.2">
      <c r="A14144" t="str">
        <f>"SAMD11"</f>
        <v>SAMD11</v>
      </c>
      <c r="B14144" t="s">
        <v>4</v>
      </c>
    </row>
    <row r="14145" spans="1:2" x14ac:dyDescent="0.2">
      <c r="A14145" t="str">
        <f>"SAMD12"</f>
        <v>SAMD12</v>
      </c>
      <c r="B14145" t="s">
        <v>4</v>
      </c>
    </row>
    <row r="14146" spans="1:2" x14ac:dyDescent="0.2">
      <c r="A14146" t="str">
        <f>"SAMD13"</f>
        <v>SAMD13</v>
      </c>
      <c r="B14146" t="s">
        <v>4</v>
      </c>
    </row>
    <row r="14147" spans="1:2" x14ac:dyDescent="0.2">
      <c r="A14147" t="str">
        <f>"SAMD14"</f>
        <v>SAMD14</v>
      </c>
      <c r="B14147" t="s">
        <v>4</v>
      </c>
    </row>
    <row r="14148" spans="1:2" x14ac:dyDescent="0.2">
      <c r="A14148" t="str">
        <f>"SAMD15"</f>
        <v>SAMD15</v>
      </c>
      <c r="B14148" t="s">
        <v>3</v>
      </c>
    </row>
    <row r="14149" spans="1:2" x14ac:dyDescent="0.2">
      <c r="A14149" t="str">
        <f>"SAMD3"</f>
        <v>SAMD3</v>
      </c>
      <c r="B14149" t="s">
        <v>4</v>
      </c>
    </row>
    <row r="14150" spans="1:2" x14ac:dyDescent="0.2">
      <c r="A14150" t="str">
        <f>"SAMD4A"</f>
        <v>SAMD4A</v>
      </c>
      <c r="B14150" t="s">
        <v>8</v>
      </c>
    </row>
    <row r="14151" spans="1:2" x14ac:dyDescent="0.2">
      <c r="A14151" t="str">
        <f>"SAMD4B"</f>
        <v>SAMD4B</v>
      </c>
      <c r="B14151" t="s">
        <v>8</v>
      </c>
    </row>
    <row r="14152" spans="1:2" x14ac:dyDescent="0.2">
      <c r="A14152" t="str">
        <f>"SAMD5"</f>
        <v>SAMD5</v>
      </c>
      <c r="B14152" t="s">
        <v>4</v>
      </c>
    </row>
    <row r="14153" spans="1:2" x14ac:dyDescent="0.2">
      <c r="A14153" t="str">
        <f>"SAMD7"</f>
        <v>SAMD7</v>
      </c>
      <c r="B14153" t="s">
        <v>4</v>
      </c>
    </row>
    <row r="14154" spans="1:2" x14ac:dyDescent="0.2">
      <c r="A14154" t="str">
        <f>"SAMD8"</f>
        <v>SAMD8</v>
      </c>
      <c r="B14154" t="s">
        <v>2</v>
      </c>
    </row>
    <row r="14155" spans="1:2" x14ac:dyDescent="0.2">
      <c r="A14155" t="str">
        <f>"SAMD9"</f>
        <v>SAMD9</v>
      </c>
      <c r="B14155" t="s">
        <v>4</v>
      </c>
    </row>
    <row r="14156" spans="1:2" x14ac:dyDescent="0.2">
      <c r="A14156" t="str">
        <f>"SAMD9L"</f>
        <v>SAMD9L</v>
      </c>
      <c r="B14156" t="s">
        <v>4</v>
      </c>
    </row>
    <row r="14157" spans="1:2" x14ac:dyDescent="0.2">
      <c r="A14157" t="str">
        <f>"SAMHD1"</f>
        <v>SAMHD1</v>
      </c>
      <c r="B14157" t="s">
        <v>4</v>
      </c>
    </row>
    <row r="14158" spans="1:2" x14ac:dyDescent="0.2">
      <c r="A14158" t="str">
        <f>"SAMM50"</f>
        <v>SAMM50</v>
      </c>
      <c r="B14158" t="s">
        <v>2</v>
      </c>
    </row>
    <row r="14159" spans="1:2" x14ac:dyDescent="0.2">
      <c r="A14159" t="str">
        <f>"SAMSN1"</f>
        <v>SAMSN1</v>
      </c>
      <c r="B14159" t="s">
        <v>4</v>
      </c>
    </row>
    <row r="14160" spans="1:2" x14ac:dyDescent="0.2">
      <c r="A14160" t="str">
        <f>"SAP130"</f>
        <v>SAP130</v>
      </c>
      <c r="B14160" t="s">
        <v>2</v>
      </c>
    </row>
    <row r="14161" spans="1:2" x14ac:dyDescent="0.2">
      <c r="A14161" t="str">
        <f>"SAP18"</f>
        <v>SAP18</v>
      </c>
      <c r="B14161" t="s">
        <v>8</v>
      </c>
    </row>
    <row r="14162" spans="1:2" x14ac:dyDescent="0.2">
      <c r="A14162" t="str">
        <f>"SAP25"</f>
        <v>SAP25</v>
      </c>
      <c r="B14162" t="s">
        <v>4</v>
      </c>
    </row>
    <row r="14163" spans="1:2" x14ac:dyDescent="0.2">
      <c r="A14163" t="str">
        <f>"SAP30"</f>
        <v>SAP30</v>
      </c>
      <c r="B14163" t="s">
        <v>8</v>
      </c>
    </row>
    <row r="14164" spans="1:2" x14ac:dyDescent="0.2">
      <c r="A14164" t="str">
        <f>"SAP30BP"</f>
        <v>SAP30BP</v>
      </c>
      <c r="B14164" t="s">
        <v>3</v>
      </c>
    </row>
    <row r="14165" spans="1:2" x14ac:dyDescent="0.2">
      <c r="A14165" t="str">
        <f>"SAP30L"</f>
        <v>SAP30L</v>
      </c>
      <c r="B14165" t="s">
        <v>8</v>
      </c>
    </row>
    <row r="14166" spans="1:2" x14ac:dyDescent="0.2">
      <c r="A14166" t="str">
        <f>"SAPCD1"</f>
        <v>SAPCD1</v>
      </c>
      <c r="B14166" t="s">
        <v>4</v>
      </c>
    </row>
    <row r="14167" spans="1:2" x14ac:dyDescent="0.2">
      <c r="A14167" t="str">
        <f>"SAPCD2"</f>
        <v>SAPCD2</v>
      </c>
      <c r="B14167" t="s">
        <v>4</v>
      </c>
    </row>
    <row r="14168" spans="1:2" x14ac:dyDescent="0.2">
      <c r="A14168" t="str">
        <f>"SAR1A"</f>
        <v>SAR1A</v>
      </c>
      <c r="B14168" t="s">
        <v>2</v>
      </c>
    </row>
    <row r="14169" spans="1:2" x14ac:dyDescent="0.2">
      <c r="A14169" t="str">
        <f>"SAR1B"</f>
        <v>SAR1B</v>
      </c>
      <c r="B14169" t="s">
        <v>7</v>
      </c>
    </row>
    <row r="14170" spans="1:2" x14ac:dyDescent="0.2">
      <c r="A14170" t="str">
        <f>"SARDH"</f>
        <v>SARDH</v>
      </c>
      <c r="B14170" t="s">
        <v>6</v>
      </c>
    </row>
    <row r="14171" spans="1:2" x14ac:dyDescent="0.2">
      <c r="A14171" t="str">
        <f>"SARM1"</f>
        <v>SARM1</v>
      </c>
      <c r="B14171" t="s">
        <v>6</v>
      </c>
    </row>
    <row r="14172" spans="1:2" x14ac:dyDescent="0.2">
      <c r="A14172" t="str">
        <f>"SARNP"</f>
        <v>SARNP</v>
      </c>
      <c r="B14172" t="s">
        <v>8</v>
      </c>
    </row>
    <row r="14173" spans="1:2" x14ac:dyDescent="0.2">
      <c r="A14173" t="str">
        <f>"SARS"</f>
        <v>SARS</v>
      </c>
      <c r="B14173" t="s">
        <v>7</v>
      </c>
    </row>
    <row r="14174" spans="1:2" x14ac:dyDescent="0.2">
      <c r="A14174" t="str">
        <f>"SARS2"</f>
        <v>SARS2</v>
      </c>
      <c r="B14174" t="s">
        <v>2</v>
      </c>
    </row>
    <row r="14175" spans="1:2" x14ac:dyDescent="0.2">
      <c r="A14175" t="str">
        <f>"SART1"</f>
        <v>SART1</v>
      </c>
      <c r="B14175" t="s">
        <v>3</v>
      </c>
    </row>
    <row r="14176" spans="1:2" x14ac:dyDescent="0.2">
      <c r="A14176" t="str">
        <f>"SART3"</f>
        <v>SART3</v>
      </c>
      <c r="B14176" t="s">
        <v>8</v>
      </c>
    </row>
    <row r="14177" spans="1:2" x14ac:dyDescent="0.2">
      <c r="A14177" t="str">
        <f>"SASH1"</f>
        <v>SASH1</v>
      </c>
      <c r="B14177" t="s">
        <v>3</v>
      </c>
    </row>
    <row r="14178" spans="1:2" x14ac:dyDescent="0.2">
      <c r="A14178" t="str">
        <f>"SASH3"</f>
        <v>SASH3</v>
      </c>
      <c r="B14178" t="s">
        <v>4</v>
      </c>
    </row>
    <row r="14179" spans="1:2" x14ac:dyDescent="0.2">
      <c r="A14179" t="str">
        <f>"SASS6"</f>
        <v>SASS6</v>
      </c>
      <c r="B14179" t="s">
        <v>3</v>
      </c>
    </row>
    <row r="14180" spans="1:2" x14ac:dyDescent="0.2">
      <c r="A14180" t="str">
        <f>"SAT1"</f>
        <v>SAT1</v>
      </c>
      <c r="B14180" t="s">
        <v>3</v>
      </c>
    </row>
    <row r="14181" spans="1:2" x14ac:dyDescent="0.2">
      <c r="A14181" t="str">
        <f>"SAT2"</f>
        <v>SAT2</v>
      </c>
      <c r="B14181" t="s">
        <v>3</v>
      </c>
    </row>
    <row r="14182" spans="1:2" x14ac:dyDescent="0.2">
      <c r="A14182" t="str">
        <f>"SATB1"</f>
        <v>SATB1</v>
      </c>
      <c r="B14182" t="s">
        <v>8</v>
      </c>
    </row>
    <row r="14183" spans="1:2" x14ac:dyDescent="0.2">
      <c r="A14183" t="str">
        <f>"SATB2"</f>
        <v>SATB2</v>
      </c>
      <c r="B14183" t="s">
        <v>8</v>
      </c>
    </row>
    <row r="14184" spans="1:2" x14ac:dyDescent="0.2">
      <c r="A14184" t="str">
        <f>"SATL1"</f>
        <v>SATL1</v>
      </c>
      <c r="B14184" t="s">
        <v>3</v>
      </c>
    </row>
    <row r="14185" spans="1:2" x14ac:dyDescent="0.2">
      <c r="A14185" t="str">
        <f>"SAV1"</f>
        <v>SAV1</v>
      </c>
      <c r="B14185" t="s">
        <v>8</v>
      </c>
    </row>
    <row r="14186" spans="1:2" x14ac:dyDescent="0.2">
      <c r="A14186" t="str">
        <f>"SAYSD1"</f>
        <v>SAYSD1</v>
      </c>
      <c r="B14186" t="s">
        <v>6</v>
      </c>
    </row>
    <row r="14187" spans="1:2" x14ac:dyDescent="0.2">
      <c r="A14187" t="str">
        <f>"SBDS"</f>
        <v>SBDS</v>
      </c>
      <c r="B14187" t="s">
        <v>3</v>
      </c>
    </row>
    <row r="14188" spans="1:2" x14ac:dyDescent="0.2">
      <c r="A14188" t="str">
        <f>"SBF1"</f>
        <v>SBF1</v>
      </c>
      <c r="B14188" t="s">
        <v>7</v>
      </c>
    </row>
    <row r="14189" spans="1:2" x14ac:dyDescent="0.2">
      <c r="A14189" t="str">
        <f>"SBF2"</f>
        <v>SBF2</v>
      </c>
      <c r="B14189" t="s">
        <v>7</v>
      </c>
    </row>
    <row r="14190" spans="1:2" x14ac:dyDescent="0.2">
      <c r="A14190" t="str">
        <f>"SBK1"</f>
        <v>SBK1</v>
      </c>
      <c r="B14190" t="s">
        <v>7</v>
      </c>
    </row>
    <row r="14191" spans="1:2" x14ac:dyDescent="0.2">
      <c r="A14191" t="str">
        <f>"SBK2"</f>
        <v>SBK2</v>
      </c>
      <c r="B14191" t="s">
        <v>7</v>
      </c>
    </row>
    <row r="14192" spans="1:2" x14ac:dyDescent="0.2">
      <c r="A14192" t="str">
        <f>"SBNO1"</f>
        <v>SBNO1</v>
      </c>
      <c r="B14192" t="s">
        <v>2</v>
      </c>
    </row>
    <row r="14193" spans="1:2" x14ac:dyDescent="0.2">
      <c r="A14193" t="str">
        <f>"SBNO2"</f>
        <v>SBNO2</v>
      </c>
      <c r="B14193" t="s">
        <v>3</v>
      </c>
    </row>
    <row r="14194" spans="1:2" x14ac:dyDescent="0.2">
      <c r="A14194" t="str">
        <f>"SBSN"</f>
        <v>SBSN</v>
      </c>
      <c r="B14194" t="s">
        <v>4</v>
      </c>
    </row>
    <row r="14195" spans="1:2" x14ac:dyDescent="0.2">
      <c r="A14195" t="str">
        <f>"SBSPON"</f>
        <v>SBSPON</v>
      </c>
      <c r="B14195" t="s">
        <v>4</v>
      </c>
    </row>
    <row r="14196" spans="1:2" x14ac:dyDescent="0.2">
      <c r="A14196" t="str">
        <f>"SC5D"</f>
        <v>SC5D</v>
      </c>
      <c r="B14196" t="s">
        <v>6</v>
      </c>
    </row>
    <row r="14197" spans="1:2" x14ac:dyDescent="0.2">
      <c r="A14197" t="str">
        <f>"SCAF1"</f>
        <v>SCAF1</v>
      </c>
      <c r="B14197" t="s">
        <v>8</v>
      </c>
    </row>
    <row r="14198" spans="1:2" x14ac:dyDescent="0.2">
      <c r="A14198" t="str">
        <f>"SCAF11"</f>
        <v>SCAF11</v>
      </c>
      <c r="B14198" t="s">
        <v>2</v>
      </c>
    </row>
    <row r="14199" spans="1:2" x14ac:dyDescent="0.2">
      <c r="A14199" t="str">
        <f>"SCAF4"</f>
        <v>SCAF4</v>
      </c>
      <c r="B14199" t="s">
        <v>8</v>
      </c>
    </row>
    <row r="14200" spans="1:2" x14ac:dyDescent="0.2">
      <c r="A14200" t="str">
        <f>"SCAF8"</f>
        <v>SCAF8</v>
      </c>
      <c r="B14200" t="s">
        <v>8</v>
      </c>
    </row>
    <row r="14201" spans="1:2" x14ac:dyDescent="0.2">
      <c r="A14201" t="str">
        <f>"SCAI"</f>
        <v>SCAI</v>
      </c>
      <c r="B14201" t="s">
        <v>4</v>
      </c>
    </row>
    <row r="14202" spans="1:2" x14ac:dyDescent="0.2">
      <c r="A14202" t="str">
        <f>"SCAMP1"</f>
        <v>SCAMP1</v>
      </c>
      <c r="B14202" t="s">
        <v>6</v>
      </c>
    </row>
    <row r="14203" spans="1:2" x14ac:dyDescent="0.2">
      <c r="A14203" t="str">
        <f>"SCAMP2"</f>
        <v>SCAMP2</v>
      </c>
      <c r="B14203" t="s">
        <v>2</v>
      </c>
    </row>
    <row r="14204" spans="1:2" x14ac:dyDescent="0.2">
      <c r="A14204" t="str">
        <f>"SCAMP3"</f>
        <v>SCAMP3</v>
      </c>
      <c r="B14204" t="s">
        <v>2</v>
      </c>
    </row>
    <row r="14205" spans="1:2" x14ac:dyDescent="0.2">
      <c r="A14205" t="str">
        <f>"SCAMP4"</f>
        <v>SCAMP4</v>
      </c>
      <c r="B14205" t="s">
        <v>2</v>
      </c>
    </row>
    <row r="14206" spans="1:2" x14ac:dyDescent="0.2">
      <c r="A14206" t="str">
        <f>"SCAMP5"</f>
        <v>SCAMP5</v>
      </c>
      <c r="B14206" t="s">
        <v>2</v>
      </c>
    </row>
    <row r="14207" spans="1:2" x14ac:dyDescent="0.2">
      <c r="A14207" t="str">
        <f>"SCAND1"</f>
        <v>SCAND1</v>
      </c>
      <c r="B14207" t="s">
        <v>8</v>
      </c>
    </row>
    <row r="14208" spans="1:2" x14ac:dyDescent="0.2">
      <c r="A14208" t="str">
        <f>"SCAND3"</f>
        <v>SCAND3</v>
      </c>
      <c r="B14208" t="s">
        <v>8</v>
      </c>
    </row>
    <row r="14209" spans="1:2" x14ac:dyDescent="0.2">
      <c r="A14209" t="str">
        <f>"SCAP"</f>
        <v>SCAP</v>
      </c>
      <c r="B14209" t="s">
        <v>3</v>
      </c>
    </row>
    <row r="14210" spans="1:2" x14ac:dyDescent="0.2">
      <c r="A14210" t="str">
        <f>"SCAPER"</f>
        <v>SCAPER</v>
      </c>
      <c r="B14210" t="s">
        <v>8</v>
      </c>
    </row>
    <row r="14211" spans="1:2" x14ac:dyDescent="0.2">
      <c r="A14211" t="str">
        <f>"SCARA3"</f>
        <v>SCARA3</v>
      </c>
      <c r="B14211" t="s">
        <v>6</v>
      </c>
    </row>
    <row r="14212" spans="1:2" x14ac:dyDescent="0.2">
      <c r="A14212" t="str">
        <f>"SCARA5"</f>
        <v>SCARA5</v>
      </c>
      <c r="B14212" t="s">
        <v>6</v>
      </c>
    </row>
    <row r="14213" spans="1:2" x14ac:dyDescent="0.2">
      <c r="A14213" t="str">
        <f>"SCARB1"</f>
        <v>SCARB1</v>
      </c>
      <c r="B14213" t="s">
        <v>7</v>
      </c>
    </row>
    <row r="14214" spans="1:2" x14ac:dyDescent="0.2">
      <c r="A14214" t="str">
        <f>"SCARB2"</f>
        <v>SCARB2</v>
      </c>
      <c r="B14214" t="s">
        <v>2</v>
      </c>
    </row>
    <row r="14215" spans="1:2" x14ac:dyDescent="0.2">
      <c r="A14215" t="str">
        <f>"SCARF1"</f>
        <v>SCARF1</v>
      </c>
      <c r="B14215" t="s">
        <v>6</v>
      </c>
    </row>
    <row r="14216" spans="1:2" x14ac:dyDescent="0.2">
      <c r="A14216" t="str">
        <f>"SCARF2"</f>
        <v>SCARF2</v>
      </c>
      <c r="B14216" t="s">
        <v>5</v>
      </c>
    </row>
    <row r="14217" spans="1:2" x14ac:dyDescent="0.2">
      <c r="A14217" t="str">
        <f>"SCCPDH"</f>
        <v>SCCPDH</v>
      </c>
      <c r="B14217" t="s">
        <v>6</v>
      </c>
    </row>
    <row r="14218" spans="1:2" x14ac:dyDescent="0.2">
      <c r="A14218" t="str">
        <f>"SCD"</f>
        <v>SCD</v>
      </c>
      <c r="B14218" t="s">
        <v>6</v>
      </c>
    </row>
    <row r="14219" spans="1:2" x14ac:dyDescent="0.2">
      <c r="A14219" t="str">
        <f>"SCD5"</f>
        <v>SCD5</v>
      </c>
      <c r="B14219" t="s">
        <v>6</v>
      </c>
    </row>
    <row r="14220" spans="1:2" x14ac:dyDescent="0.2">
      <c r="A14220" t="str">
        <f>"SCEL"</f>
        <v>SCEL</v>
      </c>
      <c r="B14220" t="s">
        <v>4</v>
      </c>
    </row>
    <row r="14221" spans="1:2" x14ac:dyDescent="0.2">
      <c r="A14221" t="str">
        <f>"SCFD1"</f>
        <v>SCFD1</v>
      </c>
      <c r="B14221" t="s">
        <v>2</v>
      </c>
    </row>
    <row r="14222" spans="1:2" x14ac:dyDescent="0.2">
      <c r="A14222" t="str">
        <f>"SCFD2"</f>
        <v>SCFD2</v>
      </c>
      <c r="B14222" t="s">
        <v>2</v>
      </c>
    </row>
    <row r="14223" spans="1:2" x14ac:dyDescent="0.2">
      <c r="A14223" t="str">
        <f>"SCG2"</f>
        <v>SCG2</v>
      </c>
      <c r="B14223" t="s">
        <v>6</v>
      </c>
    </row>
    <row r="14224" spans="1:2" x14ac:dyDescent="0.2">
      <c r="A14224" t="str">
        <f>"SCG3"</f>
        <v>SCG3</v>
      </c>
      <c r="B14224" t="s">
        <v>2</v>
      </c>
    </row>
    <row r="14225" spans="1:2" x14ac:dyDescent="0.2">
      <c r="A14225" t="str">
        <f>"SCG5"</f>
        <v>SCG5</v>
      </c>
      <c r="B14225" t="s">
        <v>2</v>
      </c>
    </row>
    <row r="14226" spans="1:2" x14ac:dyDescent="0.2">
      <c r="A14226" t="str">
        <f>"SCGB1A1"</f>
        <v>SCGB1A1</v>
      </c>
      <c r="B14226" t="s">
        <v>7</v>
      </c>
    </row>
    <row r="14227" spans="1:2" x14ac:dyDescent="0.2">
      <c r="A14227" t="str">
        <f>"SCGB1C1"</f>
        <v>SCGB1C1</v>
      </c>
      <c r="B14227" t="s">
        <v>4</v>
      </c>
    </row>
    <row r="14228" spans="1:2" x14ac:dyDescent="0.2">
      <c r="A14228" t="str">
        <f>"SCGB1D1"</f>
        <v>SCGB1D1</v>
      </c>
      <c r="B14228" t="s">
        <v>4</v>
      </c>
    </row>
    <row r="14229" spans="1:2" x14ac:dyDescent="0.2">
      <c r="A14229" t="str">
        <f>"SCGB1D2"</f>
        <v>SCGB1D2</v>
      </c>
      <c r="B14229" t="s">
        <v>4</v>
      </c>
    </row>
    <row r="14230" spans="1:2" x14ac:dyDescent="0.2">
      <c r="A14230" t="str">
        <f>"SCGB1D4"</f>
        <v>SCGB1D4</v>
      </c>
      <c r="B14230" t="s">
        <v>4</v>
      </c>
    </row>
    <row r="14231" spans="1:2" x14ac:dyDescent="0.2">
      <c r="A14231" t="str">
        <f>"SCGB2A1"</f>
        <v>SCGB2A1</v>
      </c>
      <c r="B14231" t="s">
        <v>3</v>
      </c>
    </row>
    <row r="14232" spans="1:2" x14ac:dyDescent="0.2">
      <c r="A14232" t="str">
        <f>"SCGB2A2"</f>
        <v>SCGB2A2</v>
      </c>
      <c r="B14232" t="s">
        <v>4</v>
      </c>
    </row>
    <row r="14233" spans="1:2" x14ac:dyDescent="0.2">
      <c r="A14233" t="str">
        <f>"SCGB2B2"</f>
        <v>SCGB2B2</v>
      </c>
      <c r="B14233" t="s">
        <v>4</v>
      </c>
    </row>
    <row r="14234" spans="1:2" x14ac:dyDescent="0.2">
      <c r="A14234" t="str">
        <f>"SCGB3A1"</f>
        <v>SCGB3A1</v>
      </c>
      <c r="B14234" t="s">
        <v>3</v>
      </c>
    </row>
    <row r="14235" spans="1:2" x14ac:dyDescent="0.2">
      <c r="A14235" t="str">
        <f>"SCGB3A2"</f>
        <v>SCGB3A2</v>
      </c>
      <c r="B14235" t="s">
        <v>4</v>
      </c>
    </row>
    <row r="14236" spans="1:2" x14ac:dyDescent="0.2">
      <c r="A14236" t="str">
        <f>"SCGN"</f>
        <v>SCGN</v>
      </c>
      <c r="B14236" t="s">
        <v>4</v>
      </c>
    </row>
    <row r="14237" spans="1:2" x14ac:dyDescent="0.2">
      <c r="A14237" t="str">
        <f>"SCHIP1"</f>
        <v>SCHIP1</v>
      </c>
      <c r="B14237" t="s">
        <v>4</v>
      </c>
    </row>
    <row r="14238" spans="1:2" x14ac:dyDescent="0.2">
      <c r="A14238" t="str">
        <f>"SCIMP"</f>
        <v>SCIMP</v>
      </c>
      <c r="B14238" t="s">
        <v>5</v>
      </c>
    </row>
    <row r="14239" spans="1:2" x14ac:dyDescent="0.2">
      <c r="A14239" t="str">
        <f>"SCIN"</f>
        <v>SCIN</v>
      </c>
      <c r="B14239" t="s">
        <v>4</v>
      </c>
    </row>
    <row r="14240" spans="1:2" x14ac:dyDescent="0.2">
      <c r="A14240" t="str">
        <f>"SCLT1"</f>
        <v>SCLT1</v>
      </c>
      <c r="B14240" t="s">
        <v>4</v>
      </c>
    </row>
    <row r="14241" spans="1:2" x14ac:dyDescent="0.2">
      <c r="A14241" t="str">
        <f>"SCLY"</f>
        <v>SCLY</v>
      </c>
      <c r="B14241" t="s">
        <v>7</v>
      </c>
    </row>
    <row r="14242" spans="1:2" x14ac:dyDescent="0.2">
      <c r="A14242" t="str">
        <f>"SCMH1"</f>
        <v>SCMH1</v>
      </c>
      <c r="B14242" t="s">
        <v>7</v>
      </c>
    </row>
    <row r="14243" spans="1:2" x14ac:dyDescent="0.2">
      <c r="A14243" t="str">
        <f>"SCML1"</f>
        <v>SCML1</v>
      </c>
      <c r="B14243" t="s">
        <v>8</v>
      </c>
    </row>
    <row r="14244" spans="1:2" x14ac:dyDescent="0.2">
      <c r="A14244" t="str">
        <f>"SCML2"</f>
        <v>SCML2</v>
      </c>
      <c r="B14244" t="s">
        <v>8</v>
      </c>
    </row>
    <row r="14245" spans="1:2" x14ac:dyDescent="0.2">
      <c r="A14245" t="str">
        <f>"SCML4"</f>
        <v>SCML4</v>
      </c>
      <c r="B14245" t="s">
        <v>8</v>
      </c>
    </row>
    <row r="14246" spans="1:2" x14ac:dyDescent="0.2">
      <c r="A14246" t="str">
        <f>"SCN10A"</f>
        <v>SCN10A</v>
      </c>
      <c r="B14246" t="s">
        <v>7</v>
      </c>
    </row>
    <row r="14247" spans="1:2" x14ac:dyDescent="0.2">
      <c r="A14247" t="str">
        <f>"SCN11A"</f>
        <v>SCN11A</v>
      </c>
      <c r="B14247" t="s">
        <v>7</v>
      </c>
    </row>
    <row r="14248" spans="1:2" x14ac:dyDescent="0.2">
      <c r="A14248" t="str">
        <f>"SCN1A"</f>
        <v>SCN1A</v>
      </c>
      <c r="B14248" t="s">
        <v>7</v>
      </c>
    </row>
    <row r="14249" spans="1:2" x14ac:dyDescent="0.2">
      <c r="A14249" t="str">
        <f>"SCN1B"</f>
        <v>SCN1B</v>
      </c>
      <c r="B14249" t="s">
        <v>7</v>
      </c>
    </row>
    <row r="14250" spans="1:2" x14ac:dyDescent="0.2">
      <c r="A14250" t="str">
        <f>"SCN2A"</f>
        <v>SCN2A</v>
      </c>
      <c r="B14250" t="s">
        <v>7</v>
      </c>
    </row>
    <row r="14251" spans="1:2" x14ac:dyDescent="0.2">
      <c r="A14251" t="str">
        <f>"SCN2B"</f>
        <v>SCN2B</v>
      </c>
      <c r="B14251" t="s">
        <v>7</v>
      </c>
    </row>
    <row r="14252" spans="1:2" x14ac:dyDescent="0.2">
      <c r="A14252" t="str">
        <f>"SCN3A"</f>
        <v>SCN3A</v>
      </c>
      <c r="B14252" t="s">
        <v>7</v>
      </c>
    </row>
    <row r="14253" spans="1:2" x14ac:dyDescent="0.2">
      <c r="A14253" t="str">
        <f>"SCN3B"</f>
        <v>SCN3B</v>
      </c>
      <c r="B14253" t="s">
        <v>3</v>
      </c>
    </row>
    <row r="14254" spans="1:2" x14ac:dyDescent="0.2">
      <c r="A14254" t="str">
        <f>"SCN4A"</f>
        <v>SCN4A</v>
      </c>
      <c r="B14254" t="s">
        <v>7</v>
      </c>
    </row>
    <row r="14255" spans="1:2" x14ac:dyDescent="0.2">
      <c r="A14255" t="str">
        <f>"SCN4B"</f>
        <v>SCN4B</v>
      </c>
      <c r="B14255" t="s">
        <v>7</v>
      </c>
    </row>
    <row r="14256" spans="1:2" x14ac:dyDescent="0.2">
      <c r="A14256" t="str">
        <f>"SCN5A"</f>
        <v>SCN5A</v>
      </c>
      <c r="B14256" t="s">
        <v>7</v>
      </c>
    </row>
    <row r="14257" spans="1:2" x14ac:dyDescent="0.2">
      <c r="A14257" t="str">
        <f>"SCN7A"</f>
        <v>SCN7A</v>
      </c>
      <c r="B14257" t="s">
        <v>5</v>
      </c>
    </row>
    <row r="14258" spans="1:2" x14ac:dyDescent="0.2">
      <c r="A14258" t="str">
        <f>"SCN8A"</f>
        <v>SCN8A</v>
      </c>
      <c r="B14258" t="s">
        <v>5</v>
      </c>
    </row>
    <row r="14259" spans="1:2" x14ac:dyDescent="0.2">
      <c r="A14259" t="str">
        <f>"SCN9A"</f>
        <v>SCN9A</v>
      </c>
      <c r="B14259" t="s">
        <v>7</v>
      </c>
    </row>
    <row r="14260" spans="1:2" x14ac:dyDescent="0.2">
      <c r="A14260" t="str">
        <f>"SCNM1"</f>
        <v>SCNM1</v>
      </c>
      <c r="B14260" t="s">
        <v>2</v>
      </c>
    </row>
    <row r="14261" spans="1:2" x14ac:dyDescent="0.2">
      <c r="A14261" t="str">
        <f>"SCNN1A"</f>
        <v>SCNN1A</v>
      </c>
      <c r="B14261" t="s">
        <v>7</v>
      </c>
    </row>
    <row r="14262" spans="1:2" x14ac:dyDescent="0.2">
      <c r="A14262" t="str">
        <f>"SCNN1B"</f>
        <v>SCNN1B</v>
      </c>
      <c r="B14262" t="s">
        <v>7</v>
      </c>
    </row>
    <row r="14263" spans="1:2" x14ac:dyDescent="0.2">
      <c r="A14263" t="str">
        <f>"SCNN1D"</f>
        <v>SCNN1D</v>
      </c>
      <c r="B14263" t="s">
        <v>7</v>
      </c>
    </row>
    <row r="14264" spans="1:2" x14ac:dyDescent="0.2">
      <c r="A14264" t="str">
        <f>"SCNN1G"</f>
        <v>SCNN1G</v>
      </c>
      <c r="B14264" t="s">
        <v>7</v>
      </c>
    </row>
    <row r="14265" spans="1:2" x14ac:dyDescent="0.2">
      <c r="A14265" t="str">
        <f>"SCO1"</f>
        <v>SCO1</v>
      </c>
      <c r="B14265" t="s">
        <v>6</v>
      </c>
    </row>
    <row r="14266" spans="1:2" x14ac:dyDescent="0.2">
      <c r="A14266" t="str">
        <f>"SCO2"</f>
        <v>SCO2</v>
      </c>
      <c r="B14266" t="s">
        <v>6</v>
      </c>
    </row>
    <row r="14267" spans="1:2" x14ac:dyDescent="0.2">
      <c r="A14267" t="str">
        <f>"SCOC"</f>
        <v>SCOC</v>
      </c>
      <c r="B14267" t="s">
        <v>4</v>
      </c>
    </row>
    <row r="14268" spans="1:2" x14ac:dyDescent="0.2">
      <c r="A14268" t="str">
        <f>"SCP2"</f>
        <v>SCP2</v>
      </c>
      <c r="B14268" t="s">
        <v>6</v>
      </c>
    </row>
    <row r="14269" spans="1:2" x14ac:dyDescent="0.2">
      <c r="A14269" t="str">
        <f>"SCP2D1"</f>
        <v>SCP2D1</v>
      </c>
      <c r="B14269" t="s">
        <v>4</v>
      </c>
    </row>
    <row r="14270" spans="1:2" x14ac:dyDescent="0.2">
      <c r="A14270" t="str">
        <f>"SCPEP1"</f>
        <v>SCPEP1</v>
      </c>
      <c r="B14270" t="s">
        <v>7</v>
      </c>
    </row>
    <row r="14271" spans="1:2" x14ac:dyDescent="0.2">
      <c r="A14271" t="str">
        <f>"SCRG1"</f>
        <v>SCRG1</v>
      </c>
      <c r="B14271" t="s">
        <v>4</v>
      </c>
    </row>
    <row r="14272" spans="1:2" x14ac:dyDescent="0.2">
      <c r="A14272" t="str">
        <f>"SCRIB"</f>
        <v>SCRIB</v>
      </c>
      <c r="B14272" t="s">
        <v>2</v>
      </c>
    </row>
    <row r="14273" spans="1:2" x14ac:dyDescent="0.2">
      <c r="A14273" t="str">
        <f>"SCRN1"</f>
        <v>SCRN1</v>
      </c>
      <c r="B14273" t="s">
        <v>2</v>
      </c>
    </row>
    <row r="14274" spans="1:2" x14ac:dyDescent="0.2">
      <c r="A14274" t="str">
        <f>"SCRN2"</f>
        <v>SCRN2</v>
      </c>
      <c r="B14274" t="s">
        <v>2</v>
      </c>
    </row>
    <row r="14275" spans="1:2" x14ac:dyDescent="0.2">
      <c r="A14275" t="str">
        <f>"SCRN3"</f>
        <v>SCRN3</v>
      </c>
      <c r="B14275" t="s">
        <v>2</v>
      </c>
    </row>
    <row r="14276" spans="1:2" x14ac:dyDescent="0.2">
      <c r="A14276" t="str">
        <f>"SCRT1"</f>
        <v>SCRT1</v>
      </c>
      <c r="B14276" t="s">
        <v>8</v>
      </c>
    </row>
    <row r="14277" spans="1:2" x14ac:dyDescent="0.2">
      <c r="A14277" t="str">
        <f>"SCRT2"</f>
        <v>SCRT2</v>
      </c>
      <c r="B14277" t="s">
        <v>8</v>
      </c>
    </row>
    <row r="14278" spans="1:2" x14ac:dyDescent="0.2">
      <c r="A14278" t="str">
        <f>"SCT"</f>
        <v>SCT</v>
      </c>
      <c r="B14278" t="s">
        <v>4</v>
      </c>
    </row>
    <row r="14279" spans="1:2" x14ac:dyDescent="0.2">
      <c r="A14279" t="str">
        <f>"SCTR"</f>
        <v>SCTR</v>
      </c>
      <c r="B14279" t="s">
        <v>7</v>
      </c>
    </row>
    <row r="14280" spans="1:2" x14ac:dyDescent="0.2">
      <c r="A14280" t="str">
        <f>"SCUBE1"</f>
        <v>SCUBE1</v>
      </c>
      <c r="B14280" t="s">
        <v>4</v>
      </c>
    </row>
    <row r="14281" spans="1:2" x14ac:dyDescent="0.2">
      <c r="A14281" t="str">
        <f>"SCUBE2"</f>
        <v>SCUBE2</v>
      </c>
      <c r="B14281" t="s">
        <v>6</v>
      </c>
    </row>
    <row r="14282" spans="1:2" x14ac:dyDescent="0.2">
      <c r="A14282" t="str">
        <f>"SCUBE3"</f>
        <v>SCUBE3</v>
      </c>
      <c r="B14282" t="s">
        <v>4</v>
      </c>
    </row>
    <row r="14283" spans="1:2" x14ac:dyDescent="0.2">
      <c r="A14283" t="str">
        <f>"SCXA"</f>
        <v>SCXA</v>
      </c>
      <c r="B14283" t="s">
        <v>4</v>
      </c>
    </row>
    <row r="14284" spans="1:2" x14ac:dyDescent="0.2">
      <c r="A14284" t="str">
        <f>"SCXB"</f>
        <v>SCXB</v>
      </c>
      <c r="B14284" t="s">
        <v>8</v>
      </c>
    </row>
    <row r="14285" spans="1:2" x14ac:dyDescent="0.2">
      <c r="A14285" t="str">
        <f>"SCYL1"</f>
        <v>SCYL1</v>
      </c>
      <c r="B14285" t="s">
        <v>7</v>
      </c>
    </row>
    <row r="14286" spans="1:2" x14ac:dyDescent="0.2">
      <c r="A14286" t="str">
        <f>"SCYL2"</f>
        <v>SCYL2</v>
      </c>
      <c r="B14286" t="s">
        <v>7</v>
      </c>
    </row>
    <row r="14287" spans="1:2" x14ac:dyDescent="0.2">
      <c r="A14287" t="str">
        <f>"SCYL3"</f>
        <v>SCYL3</v>
      </c>
      <c r="B14287" t="s">
        <v>7</v>
      </c>
    </row>
    <row r="14288" spans="1:2" x14ac:dyDescent="0.2">
      <c r="A14288" t="str">
        <f>"SDAD1"</f>
        <v>SDAD1</v>
      </c>
      <c r="B14288" t="s">
        <v>3</v>
      </c>
    </row>
    <row r="14289" spans="1:2" x14ac:dyDescent="0.2">
      <c r="A14289" t="str">
        <f>"SDC1"</f>
        <v>SDC1</v>
      </c>
      <c r="B14289" t="s">
        <v>3</v>
      </c>
    </row>
    <row r="14290" spans="1:2" x14ac:dyDescent="0.2">
      <c r="A14290" t="str">
        <f>"SDC2"</f>
        <v>SDC2</v>
      </c>
      <c r="B14290" t="s">
        <v>3</v>
      </c>
    </row>
    <row r="14291" spans="1:2" x14ac:dyDescent="0.2">
      <c r="A14291" t="str">
        <f>"SDC3"</f>
        <v>SDC3</v>
      </c>
      <c r="B14291" t="s">
        <v>5</v>
      </c>
    </row>
    <row r="14292" spans="1:2" x14ac:dyDescent="0.2">
      <c r="A14292" t="str">
        <f>"SDC4"</f>
        <v>SDC4</v>
      </c>
      <c r="B14292" t="s">
        <v>6</v>
      </c>
    </row>
    <row r="14293" spans="1:2" x14ac:dyDescent="0.2">
      <c r="A14293" t="str">
        <f>"SDCBP"</f>
        <v>SDCBP</v>
      </c>
      <c r="B14293" t="s">
        <v>6</v>
      </c>
    </row>
    <row r="14294" spans="1:2" x14ac:dyDescent="0.2">
      <c r="A14294" t="str">
        <f>"SDCBP2"</f>
        <v>SDCBP2</v>
      </c>
      <c r="B14294" t="s">
        <v>6</v>
      </c>
    </row>
    <row r="14295" spans="1:2" x14ac:dyDescent="0.2">
      <c r="A14295" t="str">
        <f>"SDCCAG3"</f>
        <v>SDCCAG3</v>
      </c>
      <c r="B14295" t="s">
        <v>4</v>
      </c>
    </row>
    <row r="14296" spans="1:2" x14ac:dyDescent="0.2">
      <c r="A14296" t="str">
        <f>"SDCCAG8"</f>
        <v>SDCCAG8</v>
      </c>
      <c r="B14296" t="s">
        <v>3</v>
      </c>
    </row>
    <row r="14297" spans="1:2" x14ac:dyDescent="0.2">
      <c r="A14297" t="str">
        <f>"SDE2"</f>
        <v>SDE2</v>
      </c>
      <c r="B14297" t="s">
        <v>4</v>
      </c>
    </row>
    <row r="14298" spans="1:2" x14ac:dyDescent="0.2">
      <c r="A14298" t="str">
        <f>"SDF2"</f>
        <v>SDF2</v>
      </c>
      <c r="B14298" t="s">
        <v>7</v>
      </c>
    </row>
    <row r="14299" spans="1:2" x14ac:dyDescent="0.2">
      <c r="A14299" t="str">
        <f>"SDF2L1"</f>
        <v>SDF2L1</v>
      </c>
      <c r="B14299" t="s">
        <v>6</v>
      </c>
    </row>
    <row r="14300" spans="1:2" x14ac:dyDescent="0.2">
      <c r="A14300" t="str">
        <f>"SDF4"</f>
        <v>SDF4</v>
      </c>
      <c r="B14300" t="s">
        <v>6</v>
      </c>
    </row>
    <row r="14301" spans="1:2" x14ac:dyDescent="0.2">
      <c r="A14301" t="str">
        <f>"SDHA"</f>
        <v>SDHA</v>
      </c>
      <c r="B14301" t="s">
        <v>7</v>
      </c>
    </row>
    <row r="14302" spans="1:2" x14ac:dyDescent="0.2">
      <c r="A14302" t="str">
        <f>"SDHAF1"</f>
        <v>SDHAF1</v>
      </c>
      <c r="B14302" t="s">
        <v>6</v>
      </c>
    </row>
    <row r="14303" spans="1:2" x14ac:dyDescent="0.2">
      <c r="A14303" t="str">
        <f>"SDHAF2"</f>
        <v>SDHAF2</v>
      </c>
      <c r="B14303" t="s">
        <v>6</v>
      </c>
    </row>
    <row r="14304" spans="1:2" x14ac:dyDescent="0.2">
      <c r="A14304" t="str">
        <f>"SDHB"</f>
        <v>SDHB</v>
      </c>
      <c r="B14304" t="s">
        <v>3</v>
      </c>
    </row>
    <row r="14305" spans="1:2" x14ac:dyDescent="0.2">
      <c r="A14305" t="str">
        <f>"SDHC"</f>
        <v>SDHC</v>
      </c>
      <c r="B14305" t="s">
        <v>3</v>
      </c>
    </row>
    <row r="14306" spans="1:2" x14ac:dyDescent="0.2">
      <c r="A14306" t="str">
        <f>"SDHD"</f>
        <v>SDHD</v>
      </c>
      <c r="B14306" t="s">
        <v>3</v>
      </c>
    </row>
    <row r="14307" spans="1:2" x14ac:dyDescent="0.2">
      <c r="A14307" t="str">
        <f>"SDK1"</f>
        <v>SDK1</v>
      </c>
      <c r="B14307" t="s">
        <v>5</v>
      </c>
    </row>
    <row r="14308" spans="1:2" x14ac:dyDescent="0.2">
      <c r="A14308" t="str">
        <f>"SDK2"</f>
        <v>SDK2</v>
      </c>
      <c r="B14308" t="s">
        <v>5</v>
      </c>
    </row>
    <row r="14309" spans="1:2" x14ac:dyDescent="0.2">
      <c r="A14309" t="str">
        <f>"SDPR"</f>
        <v>SDPR</v>
      </c>
      <c r="B14309" t="s">
        <v>6</v>
      </c>
    </row>
    <row r="14310" spans="1:2" x14ac:dyDescent="0.2">
      <c r="A14310" t="str">
        <f>"SDR16C5"</f>
        <v>SDR16C5</v>
      </c>
      <c r="B14310" t="s">
        <v>6</v>
      </c>
    </row>
    <row r="14311" spans="1:2" x14ac:dyDescent="0.2">
      <c r="A14311" t="str">
        <f>"SDR39U1"</f>
        <v>SDR39U1</v>
      </c>
      <c r="B14311" t="s">
        <v>6</v>
      </c>
    </row>
    <row r="14312" spans="1:2" x14ac:dyDescent="0.2">
      <c r="A14312" t="str">
        <f>"SDR42E1"</f>
        <v>SDR42E1</v>
      </c>
      <c r="B14312" t="s">
        <v>6</v>
      </c>
    </row>
    <row r="14313" spans="1:2" x14ac:dyDescent="0.2">
      <c r="A14313" t="str">
        <f>"SDR42E2"</f>
        <v>SDR42E2</v>
      </c>
      <c r="B14313" t="s">
        <v>5</v>
      </c>
    </row>
    <row r="14314" spans="1:2" x14ac:dyDescent="0.2">
      <c r="A14314" t="str">
        <f>"SDR9C7"</f>
        <v>SDR9C7</v>
      </c>
      <c r="B14314" t="s">
        <v>6</v>
      </c>
    </row>
    <row r="14315" spans="1:2" x14ac:dyDescent="0.2">
      <c r="A14315" t="str">
        <f>"SDS"</f>
        <v>SDS</v>
      </c>
      <c r="B14315" t="s">
        <v>7</v>
      </c>
    </row>
    <row r="14316" spans="1:2" x14ac:dyDescent="0.2">
      <c r="A14316" t="str">
        <f>"SDSL"</f>
        <v>SDSL</v>
      </c>
      <c r="B14316" t="s">
        <v>7</v>
      </c>
    </row>
    <row r="14317" spans="1:2" x14ac:dyDescent="0.2">
      <c r="A14317" t="str">
        <f>"SEBOX"</f>
        <v>SEBOX</v>
      </c>
      <c r="B14317" t="s">
        <v>8</v>
      </c>
    </row>
    <row r="14318" spans="1:2" x14ac:dyDescent="0.2">
      <c r="A14318" t="str">
        <f>"SEC11A"</f>
        <v>SEC11A</v>
      </c>
      <c r="B14318" t="s">
        <v>2</v>
      </c>
    </row>
    <row r="14319" spans="1:2" x14ac:dyDescent="0.2">
      <c r="A14319" t="str">
        <f>"SEC11C"</f>
        <v>SEC11C</v>
      </c>
      <c r="B14319" t="s">
        <v>2</v>
      </c>
    </row>
    <row r="14320" spans="1:2" x14ac:dyDescent="0.2">
      <c r="A14320" t="str">
        <f>"SEC13"</f>
        <v>SEC13</v>
      </c>
      <c r="B14320" t="s">
        <v>6</v>
      </c>
    </row>
    <row r="14321" spans="1:2" x14ac:dyDescent="0.2">
      <c r="A14321" t="str">
        <f>"SEC14L1"</f>
        <v>SEC14L1</v>
      </c>
      <c r="B14321" t="s">
        <v>6</v>
      </c>
    </row>
    <row r="14322" spans="1:2" x14ac:dyDescent="0.2">
      <c r="A14322" t="str">
        <f>"SEC14L2"</f>
        <v>SEC14L2</v>
      </c>
      <c r="B14322" t="s">
        <v>7</v>
      </c>
    </row>
    <row r="14323" spans="1:2" x14ac:dyDescent="0.2">
      <c r="A14323" t="str">
        <f>"SEC14L3"</f>
        <v>SEC14L3</v>
      </c>
      <c r="B14323" t="s">
        <v>7</v>
      </c>
    </row>
    <row r="14324" spans="1:2" x14ac:dyDescent="0.2">
      <c r="A14324" t="str">
        <f>"SEC14L4"</f>
        <v>SEC14L4</v>
      </c>
      <c r="B14324" t="s">
        <v>7</v>
      </c>
    </row>
    <row r="14325" spans="1:2" x14ac:dyDescent="0.2">
      <c r="A14325" t="str">
        <f>"SEC14L5"</f>
        <v>SEC14L5</v>
      </c>
      <c r="B14325" t="s">
        <v>6</v>
      </c>
    </row>
    <row r="14326" spans="1:2" x14ac:dyDescent="0.2">
      <c r="A14326" t="str">
        <f>"SEC14L6"</f>
        <v>SEC14L6</v>
      </c>
      <c r="B14326" t="s">
        <v>4</v>
      </c>
    </row>
    <row r="14327" spans="1:2" x14ac:dyDescent="0.2">
      <c r="A14327" t="str">
        <f>"SEC16A"</f>
        <v>SEC16A</v>
      </c>
      <c r="B14327" t="s">
        <v>6</v>
      </c>
    </row>
    <row r="14328" spans="1:2" x14ac:dyDescent="0.2">
      <c r="A14328" t="str">
        <f>"SEC16B"</f>
        <v>SEC16B</v>
      </c>
      <c r="B14328" t="s">
        <v>6</v>
      </c>
    </row>
    <row r="14329" spans="1:2" x14ac:dyDescent="0.2">
      <c r="A14329" t="str">
        <f>"SEC22A"</f>
        <v>SEC22A</v>
      </c>
      <c r="B14329" t="s">
        <v>6</v>
      </c>
    </row>
    <row r="14330" spans="1:2" x14ac:dyDescent="0.2">
      <c r="A14330" t="str">
        <f>"SEC22B"</f>
        <v>SEC22B</v>
      </c>
      <c r="B14330" t="s">
        <v>6</v>
      </c>
    </row>
    <row r="14331" spans="1:2" x14ac:dyDescent="0.2">
      <c r="A14331" t="str">
        <f>"SEC22C"</f>
        <v>SEC22C</v>
      </c>
      <c r="B14331" t="s">
        <v>6</v>
      </c>
    </row>
    <row r="14332" spans="1:2" x14ac:dyDescent="0.2">
      <c r="A14332" t="str">
        <f>"SEC23A"</f>
        <v>SEC23A</v>
      </c>
      <c r="B14332" t="s">
        <v>6</v>
      </c>
    </row>
    <row r="14333" spans="1:2" x14ac:dyDescent="0.2">
      <c r="A14333" t="str">
        <f>"SEC23B"</f>
        <v>SEC23B</v>
      </c>
      <c r="B14333" t="s">
        <v>6</v>
      </c>
    </row>
    <row r="14334" spans="1:2" x14ac:dyDescent="0.2">
      <c r="A14334" t="str">
        <f>"SEC23IP"</f>
        <v>SEC23IP</v>
      </c>
      <c r="B14334" t="s">
        <v>6</v>
      </c>
    </row>
    <row r="14335" spans="1:2" x14ac:dyDescent="0.2">
      <c r="A14335" t="str">
        <f>"SEC24A"</f>
        <v>SEC24A</v>
      </c>
      <c r="B14335" t="s">
        <v>6</v>
      </c>
    </row>
    <row r="14336" spans="1:2" x14ac:dyDescent="0.2">
      <c r="A14336" t="str">
        <f>"SEC24B"</f>
        <v>SEC24B</v>
      </c>
      <c r="B14336" t="s">
        <v>6</v>
      </c>
    </row>
    <row r="14337" spans="1:2" x14ac:dyDescent="0.2">
      <c r="A14337" t="str">
        <f>"SEC24C"</f>
        <v>SEC24C</v>
      </c>
      <c r="B14337" t="s">
        <v>6</v>
      </c>
    </row>
    <row r="14338" spans="1:2" x14ac:dyDescent="0.2">
      <c r="A14338" t="str">
        <f>"SEC24D"</f>
        <v>SEC24D</v>
      </c>
      <c r="B14338" t="s">
        <v>6</v>
      </c>
    </row>
    <row r="14339" spans="1:2" x14ac:dyDescent="0.2">
      <c r="A14339" t="str">
        <f>"SEC31A"</f>
        <v>SEC31A</v>
      </c>
      <c r="B14339" t="s">
        <v>6</v>
      </c>
    </row>
    <row r="14340" spans="1:2" x14ac:dyDescent="0.2">
      <c r="A14340" t="str">
        <f>"SEC31B"</f>
        <v>SEC31B</v>
      </c>
      <c r="B14340" t="s">
        <v>6</v>
      </c>
    </row>
    <row r="14341" spans="1:2" x14ac:dyDescent="0.2">
      <c r="A14341" t="str">
        <f>"SEC61A1"</f>
        <v>SEC61A1</v>
      </c>
      <c r="B14341" t="s">
        <v>2</v>
      </c>
    </row>
    <row r="14342" spans="1:2" x14ac:dyDescent="0.2">
      <c r="A14342" t="str">
        <f>"SEC61A2"</f>
        <v>SEC61A2</v>
      </c>
      <c r="B14342" t="s">
        <v>2</v>
      </c>
    </row>
    <row r="14343" spans="1:2" x14ac:dyDescent="0.2">
      <c r="A14343" t="str">
        <f>"SEC61B"</f>
        <v>SEC61B</v>
      </c>
      <c r="B14343" t="s">
        <v>2</v>
      </c>
    </row>
    <row r="14344" spans="1:2" x14ac:dyDescent="0.2">
      <c r="A14344" t="str">
        <f>"SEC61G"</f>
        <v>SEC61G</v>
      </c>
      <c r="B14344" t="s">
        <v>2</v>
      </c>
    </row>
    <row r="14345" spans="1:2" x14ac:dyDescent="0.2">
      <c r="A14345" t="str">
        <f>"SEC62"</f>
        <v>SEC62</v>
      </c>
      <c r="B14345" t="s">
        <v>2</v>
      </c>
    </row>
    <row r="14346" spans="1:2" x14ac:dyDescent="0.2">
      <c r="A14346" t="str">
        <f>"SEC63"</f>
        <v>SEC63</v>
      </c>
      <c r="B14346" t="s">
        <v>2</v>
      </c>
    </row>
    <row r="14347" spans="1:2" x14ac:dyDescent="0.2">
      <c r="A14347" t="str">
        <f>"SECISBP2"</f>
        <v>SECISBP2</v>
      </c>
      <c r="B14347" t="s">
        <v>2</v>
      </c>
    </row>
    <row r="14348" spans="1:2" x14ac:dyDescent="0.2">
      <c r="A14348" t="str">
        <f>"SECISBP2L"</f>
        <v>SECISBP2L</v>
      </c>
      <c r="B14348" t="s">
        <v>2</v>
      </c>
    </row>
    <row r="14349" spans="1:2" x14ac:dyDescent="0.2">
      <c r="A14349" t="str">
        <f>"SECTM1"</f>
        <v>SECTM1</v>
      </c>
      <c r="B14349" t="s">
        <v>5</v>
      </c>
    </row>
    <row r="14350" spans="1:2" x14ac:dyDescent="0.2">
      <c r="A14350" t="str">
        <f>"SEH1L"</f>
        <v>SEH1L</v>
      </c>
      <c r="B14350" t="s">
        <v>6</v>
      </c>
    </row>
    <row r="14351" spans="1:2" x14ac:dyDescent="0.2">
      <c r="A14351" t="str">
        <f>"SEL1L"</f>
        <v>SEL1L</v>
      </c>
      <c r="B14351" t="s">
        <v>3</v>
      </c>
    </row>
    <row r="14352" spans="1:2" x14ac:dyDescent="0.2">
      <c r="A14352" t="str">
        <f>"SEL1L2"</f>
        <v>SEL1L2</v>
      </c>
      <c r="B14352" t="s">
        <v>6</v>
      </c>
    </row>
    <row r="14353" spans="1:2" x14ac:dyDescent="0.2">
      <c r="A14353" t="str">
        <f>"SEL1L3"</f>
        <v>SEL1L3</v>
      </c>
      <c r="B14353" t="s">
        <v>5</v>
      </c>
    </row>
    <row r="14354" spans="1:2" x14ac:dyDescent="0.2">
      <c r="A14354" t="str">
        <f>"SELE"</f>
        <v>SELE</v>
      </c>
      <c r="B14354" t="s">
        <v>7</v>
      </c>
    </row>
    <row r="14355" spans="1:2" x14ac:dyDescent="0.2">
      <c r="A14355" t="str">
        <f>"SELENBP1"</f>
        <v>SELENBP1</v>
      </c>
      <c r="B14355" t="s">
        <v>6</v>
      </c>
    </row>
    <row r="14356" spans="1:2" x14ac:dyDescent="0.2">
      <c r="A14356" t="str">
        <f>"SELK"</f>
        <v>SELK</v>
      </c>
      <c r="B14356" t="s">
        <v>5</v>
      </c>
    </row>
    <row r="14357" spans="1:2" x14ac:dyDescent="0.2">
      <c r="A14357" t="str">
        <f>"SELL"</f>
        <v>SELL</v>
      </c>
      <c r="B14357" t="s">
        <v>5</v>
      </c>
    </row>
    <row r="14358" spans="1:2" x14ac:dyDescent="0.2">
      <c r="A14358" t="str">
        <f>"SELM"</f>
        <v>SELM</v>
      </c>
      <c r="B14358" t="s">
        <v>2</v>
      </c>
    </row>
    <row r="14359" spans="1:2" x14ac:dyDescent="0.2">
      <c r="A14359" t="str">
        <f>"SELO"</f>
        <v>SELO</v>
      </c>
      <c r="B14359" t="s">
        <v>3</v>
      </c>
    </row>
    <row r="14360" spans="1:2" x14ac:dyDescent="0.2">
      <c r="A14360" t="str">
        <f>"SELP"</f>
        <v>SELP</v>
      </c>
      <c r="B14360" t="s">
        <v>7</v>
      </c>
    </row>
    <row r="14361" spans="1:2" x14ac:dyDescent="0.2">
      <c r="A14361" t="str">
        <f>"SELPLG"</f>
        <v>SELPLG</v>
      </c>
      <c r="B14361" t="s">
        <v>5</v>
      </c>
    </row>
    <row r="14362" spans="1:2" x14ac:dyDescent="0.2">
      <c r="A14362" t="str">
        <f>"SELRC1"</f>
        <v>SELRC1</v>
      </c>
      <c r="B14362" t="s">
        <v>4</v>
      </c>
    </row>
    <row r="14363" spans="1:2" x14ac:dyDescent="0.2">
      <c r="A14363" t="str">
        <f>"SELT"</f>
        <v>SELT</v>
      </c>
      <c r="B14363" t="s">
        <v>6</v>
      </c>
    </row>
    <row r="14364" spans="1:2" x14ac:dyDescent="0.2">
      <c r="A14364" t="str">
        <f>"SELV"</f>
        <v>SELV</v>
      </c>
      <c r="B14364" t="s">
        <v>2</v>
      </c>
    </row>
    <row r="14365" spans="1:2" x14ac:dyDescent="0.2">
      <c r="A14365" t="str">
        <f>"SEMA3A"</f>
        <v>SEMA3A</v>
      </c>
      <c r="B14365" t="s">
        <v>6</v>
      </c>
    </row>
    <row r="14366" spans="1:2" x14ac:dyDescent="0.2">
      <c r="A14366" t="str">
        <f>"SEMA3B"</f>
        <v>SEMA3B</v>
      </c>
      <c r="B14366" t="s">
        <v>6</v>
      </c>
    </row>
    <row r="14367" spans="1:2" x14ac:dyDescent="0.2">
      <c r="A14367" t="str">
        <f>"SEMA3C"</f>
        <v>SEMA3C</v>
      </c>
      <c r="B14367" t="s">
        <v>3</v>
      </c>
    </row>
    <row r="14368" spans="1:2" x14ac:dyDescent="0.2">
      <c r="A14368" t="str">
        <f>"SEMA3D"</f>
        <v>SEMA3D</v>
      </c>
      <c r="B14368" t="s">
        <v>3</v>
      </c>
    </row>
    <row r="14369" spans="1:2" x14ac:dyDescent="0.2">
      <c r="A14369" t="str">
        <f>"SEMA3E"</f>
        <v>SEMA3E</v>
      </c>
      <c r="B14369" t="s">
        <v>4</v>
      </c>
    </row>
    <row r="14370" spans="1:2" x14ac:dyDescent="0.2">
      <c r="A14370" t="str">
        <f>"SEMA3F"</f>
        <v>SEMA3F</v>
      </c>
      <c r="B14370" t="s">
        <v>3</v>
      </c>
    </row>
    <row r="14371" spans="1:2" x14ac:dyDescent="0.2">
      <c r="A14371" t="str">
        <f>"SEMA3G"</f>
        <v>SEMA3G</v>
      </c>
      <c r="B14371" t="s">
        <v>4</v>
      </c>
    </row>
    <row r="14372" spans="1:2" x14ac:dyDescent="0.2">
      <c r="A14372" t="str">
        <f>"SEMA4A"</f>
        <v>SEMA4A</v>
      </c>
      <c r="B14372" t="s">
        <v>8</v>
      </c>
    </row>
    <row r="14373" spans="1:2" x14ac:dyDescent="0.2">
      <c r="A14373" t="str">
        <f>"SEMA4B"</f>
        <v>SEMA4B</v>
      </c>
      <c r="B14373" t="s">
        <v>5</v>
      </c>
    </row>
    <row r="14374" spans="1:2" x14ac:dyDescent="0.2">
      <c r="A14374" t="str">
        <f>"SEMA4C"</f>
        <v>SEMA4C</v>
      </c>
      <c r="B14374" t="s">
        <v>5</v>
      </c>
    </row>
    <row r="14375" spans="1:2" x14ac:dyDescent="0.2">
      <c r="A14375" t="str">
        <f>"SEMA4D"</f>
        <v>SEMA4D</v>
      </c>
      <c r="B14375" t="s">
        <v>3</v>
      </c>
    </row>
    <row r="14376" spans="1:2" x14ac:dyDescent="0.2">
      <c r="A14376" t="str">
        <f>"SEMA4F"</f>
        <v>SEMA4F</v>
      </c>
      <c r="B14376" t="s">
        <v>6</v>
      </c>
    </row>
    <row r="14377" spans="1:2" x14ac:dyDescent="0.2">
      <c r="A14377" t="str">
        <f>"SEMA4G"</f>
        <v>SEMA4G</v>
      </c>
      <c r="B14377" t="s">
        <v>3</v>
      </c>
    </row>
    <row r="14378" spans="1:2" x14ac:dyDescent="0.2">
      <c r="A14378" t="str">
        <f>"SEMA5A"</f>
        <v>SEMA5A</v>
      </c>
      <c r="B14378" t="s">
        <v>5</v>
      </c>
    </row>
    <row r="14379" spans="1:2" x14ac:dyDescent="0.2">
      <c r="A14379" t="str">
        <f>"SEMA5B"</f>
        <v>SEMA5B</v>
      </c>
      <c r="B14379" t="s">
        <v>5</v>
      </c>
    </row>
    <row r="14380" spans="1:2" x14ac:dyDescent="0.2">
      <c r="A14380" t="str">
        <f>"SEMA6A"</f>
        <v>SEMA6A</v>
      </c>
      <c r="B14380" t="s">
        <v>6</v>
      </c>
    </row>
    <row r="14381" spans="1:2" x14ac:dyDescent="0.2">
      <c r="A14381" t="str">
        <f>"SEMA6B"</f>
        <v>SEMA6B</v>
      </c>
      <c r="B14381" t="s">
        <v>5</v>
      </c>
    </row>
    <row r="14382" spans="1:2" x14ac:dyDescent="0.2">
      <c r="A14382" t="str">
        <f>"SEMA6C"</f>
        <v>SEMA6C</v>
      </c>
      <c r="B14382" t="s">
        <v>5</v>
      </c>
    </row>
    <row r="14383" spans="1:2" x14ac:dyDescent="0.2">
      <c r="A14383" t="str">
        <f>"SEMA6D"</f>
        <v>SEMA6D</v>
      </c>
      <c r="B14383" t="s">
        <v>5</v>
      </c>
    </row>
    <row r="14384" spans="1:2" x14ac:dyDescent="0.2">
      <c r="A14384" t="str">
        <f>"SEMA7A"</f>
        <v>SEMA7A</v>
      </c>
      <c r="B14384" t="s">
        <v>4</v>
      </c>
    </row>
    <row r="14385" spans="1:2" x14ac:dyDescent="0.2">
      <c r="A14385" t="str">
        <f>"SEMG1"</f>
        <v>SEMG1</v>
      </c>
      <c r="B14385" t="s">
        <v>4</v>
      </c>
    </row>
    <row r="14386" spans="1:2" x14ac:dyDescent="0.2">
      <c r="A14386" t="str">
        <f>"SEMG2"</f>
        <v>SEMG2</v>
      </c>
      <c r="B14386" t="s">
        <v>6</v>
      </c>
    </row>
    <row r="14387" spans="1:2" x14ac:dyDescent="0.2">
      <c r="A14387" t="str">
        <f>"SENP1"</f>
        <v>SENP1</v>
      </c>
      <c r="B14387" t="s">
        <v>3</v>
      </c>
    </row>
    <row r="14388" spans="1:2" x14ac:dyDescent="0.2">
      <c r="A14388" t="str">
        <f>"SENP2"</f>
        <v>SENP2</v>
      </c>
      <c r="B14388" t="s">
        <v>2</v>
      </c>
    </row>
    <row r="14389" spans="1:2" x14ac:dyDescent="0.2">
      <c r="A14389" t="str">
        <f>"SENP3"</f>
        <v>SENP3</v>
      </c>
      <c r="B14389" t="s">
        <v>2</v>
      </c>
    </row>
    <row r="14390" spans="1:2" x14ac:dyDescent="0.2">
      <c r="A14390" t="str">
        <f>"SENP5"</f>
        <v>SENP5</v>
      </c>
      <c r="B14390" t="s">
        <v>3</v>
      </c>
    </row>
    <row r="14391" spans="1:2" x14ac:dyDescent="0.2">
      <c r="A14391" t="str">
        <f>"SENP6"</f>
        <v>SENP6</v>
      </c>
      <c r="B14391" t="s">
        <v>3</v>
      </c>
    </row>
    <row r="14392" spans="1:2" x14ac:dyDescent="0.2">
      <c r="A14392" t="str">
        <f>"SENP7"</f>
        <v>SENP7</v>
      </c>
      <c r="B14392" t="s">
        <v>2</v>
      </c>
    </row>
    <row r="14393" spans="1:2" x14ac:dyDescent="0.2">
      <c r="A14393" t="str">
        <f>"SENP8"</f>
        <v>SENP8</v>
      </c>
      <c r="B14393" t="s">
        <v>2</v>
      </c>
    </row>
    <row r="14394" spans="1:2" x14ac:dyDescent="0.2">
      <c r="A14394" t="str">
        <f>"SEP15"</f>
        <v>SEP15</v>
      </c>
      <c r="B14394" t="s">
        <v>2</v>
      </c>
    </row>
    <row r="14395" spans="1:2" x14ac:dyDescent="0.2">
      <c r="A14395" t="str">
        <f>"SEPHS1"</f>
        <v>SEPHS1</v>
      </c>
      <c r="B14395" t="s">
        <v>3</v>
      </c>
    </row>
    <row r="14396" spans="1:2" x14ac:dyDescent="0.2">
      <c r="A14396" t="str">
        <f>"SEPHS2"</f>
        <v>SEPHS2</v>
      </c>
      <c r="B14396" t="s">
        <v>3</v>
      </c>
    </row>
    <row r="14397" spans="1:2" x14ac:dyDescent="0.2">
      <c r="A14397" t="str">
        <f>"SEPN1"</f>
        <v>SEPN1</v>
      </c>
      <c r="B14397" t="s">
        <v>6</v>
      </c>
    </row>
    <row r="14398" spans="1:2" x14ac:dyDescent="0.2">
      <c r="A14398" t="str">
        <f>"SEPP1"</f>
        <v>SEPP1</v>
      </c>
      <c r="B14398" t="s">
        <v>6</v>
      </c>
    </row>
    <row r="14399" spans="1:2" x14ac:dyDescent="0.2">
      <c r="A14399" t="str">
        <f>"SEPSECS"</f>
        <v>SEPSECS</v>
      </c>
      <c r="B14399" t="s">
        <v>7</v>
      </c>
    </row>
    <row r="14400" spans="1:2" x14ac:dyDescent="0.2">
      <c r="A14400" t="str">
        <f>"SEPT1"</f>
        <v>SEPT1</v>
      </c>
      <c r="B14400" t="s">
        <v>3</v>
      </c>
    </row>
    <row r="14401" spans="1:2" x14ac:dyDescent="0.2">
      <c r="A14401" t="str">
        <f>"SEPT10"</f>
        <v>SEPT10</v>
      </c>
      <c r="B14401" t="s">
        <v>3</v>
      </c>
    </row>
    <row r="14402" spans="1:2" x14ac:dyDescent="0.2">
      <c r="A14402" t="str">
        <f>"SEPT11"</f>
        <v>SEPT11</v>
      </c>
      <c r="B14402" t="s">
        <v>3</v>
      </c>
    </row>
    <row r="14403" spans="1:2" x14ac:dyDescent="0.2">
      <c r="A14403" t="str">
        <f>"SEPT12"</f>
        <v>SEPT12</v>
      </c>
      <c r="B14403" t="s">
        <v>3</v>
      </c>
    </row>
    <row r="14404" spans="1:2" x14ac:dyDescent="0.2">
      <c r="A14404" t="str">
        <f>"SEPT14"</f>
        <v>SEPT14</v>
      </c>
      <c r="B14404" t="s">
        <v>6</v>
      </c>
    </row>
    <row r="14405" spans="1:2" x14ac:dyDescent="0.2">
      <c r="A14405" t="str">
        <f>"SEPT2"</f>
        <v>SEPT2</v>
      </c>
      <c r="B14405" t="s">
        <v>3</v>
      </c>
    </row>
    <row r="14406" spans="1:2" x14ac:dyDescent="0.2">
      <c r="A14406" t="str">
        <f>"SEPT3"</f>
        <v>SEPT3</v>
      </c>
      <c r="B14406" t="s">
        <v>3</v>
      </c>
    </row>
    <row r="14407" spans="1:2" x14ac:dyDescent="0.2">
      <c r="A14407" t="str">
        <f>"SEPT4"</f>
        <v>SEPT4</v>
      </c>
      <c r="B14407" t="s">
        <v>3</v>
      </c>
    </row>
    <row r="14408" spans="1:2" x14ac:dyDescent="0.2">
      <c r="A14408" t="str">
        <f>"SEPT5"</f>
        <v>SEPT5</v>
      </c>
      <c r="B14408" t="s">
        <v>3</v>
      </c>
    </row>
    <row r="14409" spans="1:2" x14ac:dyDescent="0.2">
      <c r="A14409" t="str">
        <f>"SEPT6"</f>
        <v>SEPT6</v>
      </c>
      <c r="B14409" t="s">
        <v>3</v>
      </c>
    </row>
    <row r="14410" spans="1:2" x14ac:dyDescent="0.2">
      <c r="A14410" t="str">
        <f>"SEPT7"</f>
        <v>SEPT7</v>
      </c>
      <c r="B14410" t="s">
        <v>3</v>
      </c>
    </row>
    <row r="14411" spans="1:2" x14ac:dyDescent="0.2">
      <c r="A14411" t="str">
        <f>"SEPT8"</f>
        <v>SEPT8</v>
      </c>
      <c r="B14411" t="s">
        <v>6</v>
      </c>
    </row>
    <row r="14412" spans="1:2" x14ac:dyDescent="0.2">
      <c r="A14412" t="str">
        <f>"SEPT9"</f>
        <v>SEPT9</v>
      </c>
      <c r="B14412" t="s">
        <v>3</v>
      </c>
    </row>
    <row r="14413" spans="1:2" x14ac:dyDescent="0.2">
      <c r="A14413" t="str">
        <f>"SEPW1"</f>
        <v>SEPW1</v>
      </c>
      <c r="B14413" t="s">
        <v>4</v>
      </c>
    </row>
    <row r="14414" spans="1:2" x14ac:dyDescent="0.2">
      <c r="A14414" t="str">
        <f>"SERAC1"</f>
        <v>SERAC1</v>
      </c>
      <c r="B14414" t="s">
        <v>6</v>
      </c>
    </row>
    <row r="14415" spans="1:2" x14ac:dyDescent="0.2">
      <c r="A14415" t="str">
        <f>"SERBP1"</f>
        <v>SERBP1</v>
      </c>
      <c r="B14415" t="s">
        <v>2</v>
      </c>
    </row>
    <row r="14416" spans="1:2" x14ac:dyDescent="0.2">
      <c r="A14416" t="str">
        <f>"SERF1A"</f>
        <v>SERF1A</v>
      </c>
      <c r="B14416" t="s">
        <v>5</v>
      </c>
    </row>
    <row r="14417" spans="1:2" x14ac:dyDescent="0.2">
      <c r="A14417" t="str">
        <f>"SERF1B"</f>
        <v>SERF1B</v>
      </c>
      <c r="B14417" t="s">
        <v>4</v>
      </c>
    </row>
    <row r="14418" spans="1:2" x14ac:dyDescent="0.2">
      <c r="A14418" t="str">
        <f>"SERF2"</f>
        <v>SERF2</v>
      </c>
      <c r="B14418" t="s">
        <v>4</v>
      </c>
    </row>
    <row r="14419" spans="1:2" x14ac:dyDescent="0.2">
      <c r="A14419" t="str">
        <f>"SERGEF"</f>
        <v>SERGEF</v>
      </c>
      <c r="B14419" t="s">
        <v>2</v>
      </c>
    </row>
    <row r="14420" spans="1:2" x14ac:dyDescent="0.2">
      <c r="A14420" t="str">
        <f>"SERHL2"</f>
        <v>SERHL2</v>
      </c>
      <c r="B14420" t="s">
        <v>2</v>
      </c>
    </row>
    <row r="14421" spans="1:2" x14ac:dyDescent="0.2">
      <c r="A14421" t="str">
        <f>"SERINC1"</f>
        <v>SERINC1</v>
      </c>
      <c r="B14421" t="s">
        <v>2</v>
      </c>
    </row>
    <row r="14422" spans="1:2" x14ac:dyDescent="0.2">
      <c r="A14422" t="str">
        <f>"SERINC2"</f>
        <v>SERINC2</v>
      </c>
      <c r="B14422" t="s">
        <v>2</v>
      </c>
    </row>
    <row r="14423" spans="1:2" x14ac:dyDescent="0.2">
      <c r="A14423" t="str">
        <f>"SERINC3"</f>
        <v>SERINC3</v>
      </c>
      <c r="B14423" t="s">
        <v>3</v>
      </c>
    </row>
    <row r="14424" spans="1:2" x14ac:dyDescent="0.2">
      <c r="A14424" t="str">
        <f>"SERINC4"</f>
        <v>SERINC4</v>
      </c>
      <c r="B14424" t="s">
        <v>5</v>
      </c>
    </row>
    <row r="14425" spans="1:2" x14ac:dyDescent="0.2">
      <c r="A14425" t="str">
        <f>"SERINC5"</f>
        <v>SERINC5</v>
      </c>
      <c r="B14425" t="s">
        <v>5</v>
      </c>
    </row>
    <row r="14426" spans="1:2" x14ac:dyDescent="0.2">
      <c r="A14426" t="str">
        <f>"SERP1"</f>
        <v>SERP1</v>
      </c>
      <c r="B14426" t="s">
        <v>2</v>
      </c>
    </row>
    <row r="14427" spans="1:2" x14ac:dyDescent="0.2">
      <c r="A14427" t="str">
        <f>"SERP2"</f>
        <v>SERP2</v>
      </c>
      <c r="B14427" t="s">
        <v>2</v>
      </c>
    </row>
    <row r="14428" spans="1:2" x14ac:dyDescent="0.2">
      <c r="A14428" t="str">
        <f>"SERPINA1"</f>
        <v>SERPINA1</v>
      </c>
      <c r="B14428" t="s">
        <v>7</v>
      </c>
    </row>
    <row r="14429" spans="1:2" x14ac:dyDescent="0.2">
      <c r="A14429" t="str">
        <f>"SERPINA10"</f>
        <v>SERPINA10</v>
      </c>
      <c r="B14429" t="s">
        <v>5</v>
      </c>
    </row>
    <row r="14430" spans="1:2" x14ac:dyDescent="0.2">
      <c r="A14430" t="str">
        <f>"SERPINA11"</f>
        <v>SERPINA11</v>
      </c>
      <c r="B14430" t="s">
        <v>4</v>
      </c>
    </row>
    <row r="14431" spans="1:2" x14ac:dyDescent="0.2">
      <c r="A14431" t="str">
        <f>"SERPINA12"</f>
        <v>SERPINA12</v>
      </c>
      <c r="B14431" t="s">
        <v>3</v>
      </c>
    </row>
    <row r="14432" spans="1:2" x14ac:dyDescent="0.2">
      <c r="A14432" t="str">
        <f>"SERPINA3"</f>
        <v>SERPINA3</v>
      </c>
      <c r="B14432" t="s">
        <v>2</v>
      </c>
    </row>
    <row r="14433" spans="1:2" x14ac:dyDescent="0.2">
      <c r="A14433" t="str">
        <f>"SERPINA4"</f>
        <v>SERPINA4</v>
      </c>
      <c r="B14433" t="s">
        <v>6</v>
      </c>
    </row>
    <row r="14434" spans="1:2" x14ac:dyDescent="0.2">
      <c r="A14434" t="str">
        <f>"SERPINA5"</f>
        <v>SERPINA5</v>
      </c>
      <c r="B14434" t="s">
        <v>7</v>
      </c>
    </row>
    <row r="14435" spans="1:2" x14ac:dyDescent="0.2">
      <c r="A14435" t="str">
        <f>"SERPINA6"</f>
        <v>SERPINA6</v>
      </c>
      <c r="B14435" t="s">
        <v>6</v>
      </c>
    </row>
    <row r="14436" spans="1:2" x14ac:dyDescent="0.2">
      <c r="A14436" t="str">
        <f>"SERPINA7"</f>
        <v>SERPINA7</v>
      </c>
      <c r="B14436" t="s">
        <v>3</v>
      </c>
    </row>
    <row r="14437" spans="1:2" x14ac:dyDescent="0.2">
      <c r="A14437" t="str">
        <f>"SERPINA9"</f>
        <v>SERPINA9</v>
      </c>
      <c r="B14437" t="s">
        <v>5</v>
      </c>
    </row>
    <row r="14438" spans="1:2" x14ac:dyDescent="0.2">
      <c r="A14438" t="str">
        <f>"SERPINB1"</f>
        <v>SERPINB1</v>
      </c>
      <c r="B14438" t="s">
        <v>4</v>
      </c>
    </row>
    <row r="14439" spans="1:2" x14ac:dyDescent="0.2">
      <c r="A14439" t="str">
        <f>"SERPINB10"</f>
        <v>SERPINB10</v>
      </c>
      <c r="B14439" t="s">
        <v>2</v>
      </c>
    </row>
    <row r="14440" spans="1:2" x14ac:dyDescent="0.2">
      <c r="A14440" t="str">
        <f>"SERPINB11"</f>
        <v>SERPINB11</v>
      </c>
      <c r="B14440" t="s">
        <v>4</v>
      </c>
    </row>
    <row r="14441" spans="1:2" x14ac:dyDescent="0.2">
      <c r="A14441" t="str">
        <f>"SERPINB12"</f>
        <v>SERPINB12</v>
      </c>
      <c r="B14441" t="s">
        <v>4</v>
      </c>
    </row>
    <row r="14442" spans="1:2" x14ac:dyDescent="0.2">
      <c r="A14442" t="str">
        <f>"SERPINB13"</f>
        <v>SERPINB13</v>
      </c>
      <c r="B14442" t="s">
        <v>2</v>
      </c>
    </row>
    <row r="14443" spans="1:2" x14ac:dyDescent="0.2">
      <c r="A14443" t="str">
        <f>"SERPINB2"</f>
        <v>SERPINB2</v>
      </c>
      <c r="B14443" t="s">
        <v>7</v>
      </c>
    </row>
    <row r="14444" spans="1:2" x14ac:dyDescent="0.2">
      <c r="A14444" t="str">
        <f>"SERPINB3"</f>
        <v>SERPINB3</v>
      </c>
      <c r="B14444" t="s">
        <v>7</v>
      </c>
    </row>
    <row r="14445" spans="1:2" x14ac:dyDescent="0.2">
      <c r="A14445" t="str">
        <f>"SERPINB4"</f>
        <v>SERPINB4</v>
      </c>
      <c r="B14445" t="s">
        <v>2</v>
      </c>
    </row>
    <row r="14446" spans="1:2" x14ac:dyDescent="0.2">
      <c r="A14446" t="str">
        <f>"SERPINB5"</f>
        <v>SERPINB5</v>
      </c>
      <c r="B14446" t="s">
        <v>3</v>
      </c>
    </row>
    <row r="14447" spans="1:2" x14ac:dyDescent="0.2">
      <c r="A14447" t="str">
        <f>"SERPINB6"</f>
        <v>SERPINB6</v>
      </c>
      <c r="B14447" t="s">
        <v>7</v>
      </c>
    </row>
    <row r="14448" spans="1:2" x14ac:dyDescent="0.2">
      <c r="A14448" t="str">
        <f>"SERPINB7"</f>
        <v>SERPINB7</v>
      </c>
      <c r="B14448" t="s">
        <v>2</v>
      </c>
    </row>
    <row r="14449" spans="1:2" x14ac:dyDescent="0.2">
      <c r="A14449" t="str">
        <f>"SERPINB8"</f>
        <v>SERPINB8</v>
      </c>
      <c r="B14449" t="s">
        <v>4</v>
      </c>
    </row>
    <row r="14450" spans="1:2" x14ac:dyDescent="0.2">
      <c r="A14450" t="str">
        <f>"SERPINB9"</f>
        <v>SERPINB9</v>
      </c>
      <c r="B14450" t="s">
        <v>3</v>
      </c>
    </row>
    <row r="14451" spans="1:2" x14ac:dyDescent="0.2">
      <c r="A14451" t="str">
        <f>"SERPINC1"</f>
        <v>SERPINC1</v>
      </c>
      <c r="B14451" t="s">
        <v>7</v>
      </c>
    </row>
    <row r="14452" spans="1:2" x14ac:dyDescent="0.2">
      <c r="A14452" t="str">
        <f>"SERPIND1"</f>
        <v>SERPIND1</v>
      </c>
      <c r="B14452" t="s">
        <v>7</v>
      </c>
    </row>
    <row r="14453" spans="1:2" x14ac:dyDescent="0.2">
      <c r="A14453" t="str">
        <f>"SERPINE1"</f>
        <v>SERPINE1</v>
      </c>
      <c r="B14453" t="s">
        <v>3</v>
      </c>
    </row>
    <row r="14454" spans="1:2" x14ac:dyDescent="0.2">
      <c r="A14454" t="str">
        <f>"SERPINE2"</f>
        <v>SERPINE2</v>
      </c>
      <c r="B14454" t="s">
        <v>2</v>
      </c>
    </row>
    <row r="14455" spans="1:2" x14ac:dyDescent="0.2">
      <c r="A14455" t="str">
        <f>"SERPINE3"</f>
        <v>SERPINE3</v>
      </c>
      <c r="B14455" t="s">
        <v>4</v>
      </c>
    </row>
    <row r="14456" spans="1:2" x14ac:dyDescent="0.2">
      <c r="A14456" t="str">
        <f>"SERPINF1"</f>
        <v>SERPINF1</v>
      </c>
      <c r="B14456" t="s">
        <v>3</v>
      </c>
    </row>
    <row r="14457" spans="1:2" x14ac:dyDescent="0.2">
      <c r="A14457" t="str">
        <f>"SERPINF2"</f>
        <v>SERPINF2</v>
      </c>
      <c r="B14457" t="s">
        <v>6</v>
      </c>
    </row>
    <row r="14458" spans="1:2" x14ac:dyDescent="0.2">
      <c r="A14458" t="str">
        <f>"SERPING1"</f>
        <v>SERPING1</v>
      </c>
      <c r="B14458" t="s">
        <v>3</v>
      </c>
    </row>
    <row r="14459" spans="1:2" x14ac:dyDescent="0.2">
      <c r="A14459" t="str">
        <f>"SERPINH1"</f>
        <v>SERPINH1</v>
      </c>
      <c r="B14459" t="s">
        <v>2</v>
      </c>
    </row>
    <row r="14460" spans="1:2" x14ac:dyDescent="0.2">
      <c r="A14460" t="str">
        <f>"SERPINI1"</f>
        <v>SERPINI1</v>
      </c>
      <c r="B14460" t="s">
        <v>3</v>
      </c>
    </row>
    <row r="14461" spans="1:2" x14ac:dyDescent="0.2">
      <c r="A14461" t="str">
        <f>"SERPINI2"</f>
        <v>SERPINI2</v>
      </c>
      <c r="B14461" t="s">
        <v>4</v>
      </c>
    </row>
    <row r="14462" spans="1:2" x14ac:dyDescent="0.2">
      <c r="A14462" t="str">
        <f>"SERTAD1"</f>
        <v>SERTAD1</v>
      </c>
      <c r="B14462" t="s">
        <v>8</v>
      </c>
    </row>
    <row r="14463" spans="1:2" x14ac:dyDescent="0.2">
      <c r="A14463" t="str">
        <f>"SERTAD2"</f>
        <v>SERTAD2</v>
      </c>
      <c r="B14463" t="s">
        <v>8</v>
      </c>
    </row>
    <row r="14464" spans="1:2" x14ac:dyDescent="0.2">
      <c r="A14464" t="str">
        <f>"SERTAD3"</f>
        <v>SERTAD3</v>
      </c>
      <c r="B14464" t="s">
        <v>8</v>
      </c>
    </row>
    <row r="14465" spans="1:2" x14ac:dyDescent="0.2">
      <c r="A14465" t="str">
        <f>"SERTAD4"</f>
        <v>SERTAD4</v>
      </c>
      <c r="B14465" t="s">
        <v>4</v>
      </c>
    </row>
    <row r="14466" spans="1:2" x14ac:dyDescent="0.2">
      <c r="A14466" t="str">
        <f>"SERTM1"</f>
        <v>SERTM1</v>
      </c>
      <c r="B14466" t="s">
        <v>5</v>
      </c>
    </row>
    <row r="14467" spans="1:2" x14ac:dyDescent="0.2">
      <c r="A14467" t="str">
        <f>"SESN1"</f>
        <v>SESN1</v>
      </c>
      <c r="B14467" t="s">
        <v>3</v>
      </c>
    </row>
    <row r="14468" spans="1:2" x14ac:dyDescent="0.2">
      <c r="A14468" t="str">
        <f>"SESN2"</f>
        <v>SESN2</v>
      </c>
      <c r="B14468" t="s">
        <v>3</v>
      </c>
    </row>
    <row r="14469" spans="1:2" x14ac:dyDescent="0.2">
      <c r="A14469" t="str">
        <f>"SESN3"</f>
        <v>SESN3</v>
      </c>
      <c r="B14469" t="s">
        <v>3</v>
      </c>
    </row>
    <row r="14470" spans="1:2" x14ac:dyDescent="0.2">
      <c r="A14470" t="str">
        <f>"SESTD1"</f>
        <v>SESTD1</v>
      </c>
      <c r="B14470" t="s">
        <v>4</v>
      </c>
    </row>
    <row r="14471" spans="1:2" x14ac:dyDescent="0.2">
      <c r="A14471" t="str">
        <f>"SET"</f>
        <v>SET</v>
      </c>
      <c r="B14471" t="s">
        <v>3</v>
      </c>
    </row>
    <row r="14472" spans="1:2" x14ac:dyDescent="0.2">
      <c r="A14472" t="str">
        <f>"SETBP1"</f>
        <v>SETBP1</v>
      </c>
      <c r="B14472" t="s">
        <v>8</v>
      </c>
    </row>
    <row r="14473" spans="1:2" x14ac:dyDescent="0.2">
      <c r="A14473" t="str">
        <f>"SETD1A"</f>
        <v>SETD1A</v>
      </c>
      <c r="B14473" t="s">
        <v>3</v>
      </c>
    </row>
    <row r="14474" spans="1:2" x14ac:dyDescent="0.2">
      <c r="A14474" t="str">
        <f>"SETD1B"</f>
        <v>SETD1B</v>
      </c>
      <c r="B14474" t="s">
        <v>5</v>
      </c>
    </row>
    <row r="14475" spans="1:2" x14ac:dyDescent="0.2">
      <c r="A14475" t="str">
        <f>"SETD2"</f>
        <v>SETD2</v>
      </c>
      <c r="B14475" t="s">
        <v>8</v>
      </c>
    </row>
    <row r="14476" spans="1:2" x14ac:dyDescent="0.2">
      <c r="A14476" t="str">
        <f>"SETD3"</f>
        <v>SETD3</v>
      </c>
      <c r="B14476" t="s">
        <v>4</v>
      </c>
    </row>
    <row r="14477" spans="1:2" x14ac:dyDescent="0.2">
      <c r="A14477" t="str">
        <f>"SETD4"</f>
        <v>SETD4</v>
      </c>
      <c r="B14477" t="s">
        <v>4</v>
      </c>
    </row>
    <row r="14478" spans="1:2" x14ac:dyDescent="0.2">
      <c r="A14478" t="str">
        <f>"SETD5"</f>
        <v>SETD5</v>
      </c>
      <c r="B14478" t="s">
        <v>5</v>
      </c>
    </row>
    <row r="14479" spans="1:2" x14ac:dyDescent="0.2">
      <c r="A14479" t="str">
        <f>"SETD6"</f>
        <v>SETD6</v>
      </c>
      <c r="B14479" t="s">
        <v>4</v>
      </c>
    </row>
    <row r="14480" spans="1:2" x14ac:dyDescent="0.2">
      <c r="A14480" t="str">
        <f>"SETD7"</f>
        <v>SETD7</v>
      </c>
      <c r="B14480" t="s">
        <v>3</v>
      </c>
    </row>
    <row r="14481" spans="1:2" x14ac:dyDescent="0.2">
      <c r="A14481" t="str">
        <f>"SETD8"</f>
        <v>SETD8</v>
      </c>
      <c r="B14481" t="s">
        <v>8</v>
      </c>
    </row>
    <row r="14482" spans="1:2" x14ac:dyDescent="0.2">
      <c r="A14482" t="str">
        <f>"SETD9"</f>
        <v>SETD9</v>
      </c>
      <c r="B14482" t="s">
        <v>4</v>
      </c>
    </row>
    <row r="14483" spans="1:2" x14ac:dyDescent="0.2">
      <c r="A14483" t="str">
        <f>"SETDB1"</f>
        <v>SETDB1</v>
      </c>
      <c r="B14483" t="s">
        <v>3</v>
      </c>
    </row>
    <row r="14484" spans="1:2" x14ac:dyDescent="0.2">
      <c r="A14484" t="str">
        <f>"SETDB2"</f>
        <v>SETDB2</v>
      </c>
      <c r="B14484" t="s">
        <v>8</v>
      </c>
    </row>
    <row r="14485" spans="1:2" x14ac:dyDescent="0.2">
      <c r="A14485" t="str">
        <f>"SETMAR"</f>
        <v>SETMAR</v>
      </c>
      <c r="B14485" t="s">
        <v>8</v>
      </c>
    </row>
    <row r="14486" spans="1:2" x14ac:dyDescent="0.2">
      <c r="A14486" t="str">
        <f>"SETX"</f>
        <v>SETX</v>
      </c>
      <c r="B14486" t="s">
        <v>3</v>
      </c>
    </row>
    <row r="14487" spans="1:2" x14ac:dyDescent="0.2">
      <c r="A14487" t="str">
        <f>"SEZ6"</f>
        <v>SEZ6</v>
      </c>
      <c r="B14487" t="s">
        <v>5</v>
      </c>
    </row>
    <row r="14488" spans="1:2" x14ac:dyDescent="0.2">
      <c r="A14488" t="str">
        <f>"SEZ6L"</f>
        <v>SEZ6L</v>
      </c>
      <c r="B14488" t="s">
        <v>5</v>
      </c>
    </row>
    <row r="14489" spans="1:2" x14ac:dyDescent="0.2">
      <c r="A14489" t="str">
        <f>"SEZ6L2"</f>
        <v>SEZ6L2</v>
      </c>
      <c r="B14489" t="s">
        <v>5</v>
      </c>
    </row>
    <row r="14490" spans="1:2" x14ac:dyDescent="0.2">
      <c r="A14490" t="str">
        <f>"SF1"</f>
        <v>SF1</v>
      </c>
      <c r="B14490" t="s">
        <v>8</v>
      </c>
    </row>
    <row r="14491" spans="1:2" x14ac:dyDescent="0.2">
      <c r="A14491" t="str">
        <f>"SF3A1"</f>
        <v>SF3A1</v>
      </c>
      <c r="B14491" t="s">
        <v>2</v>
      </c>
    </row>
    <row r="14492" spans="1:2" x14ac:dyDescent="0.2">
      <c r="A14492" t="str">
        <f>"SF3A2"</f>
        <v>SF3A2</v>
      </c>
      <c r="B14492" t="s">
        <v>8</v>
      </c>
    </row>
    <row r="14493" spans="1:2" x14ac:dyDescent="0.2">
      <c r="A14493" t="str">
        <f>"SF3A3"</f>
        <v>SF3A3</v>
      </c>
      <c r="B14493" t="s">
        <v>2</v>
      </c>
    </row>
    <row r="14494" spans="1:2" x14ac:dyDescent="0.2">
      <c r="A14494" t="str">
        <f>"SF3B1"</f>
        <v>SF3B1</v>
      </c>
      <c r="B14494" t="s">
        <v>6</v>
      </c>
    </row>
    <row r="14495" spans="1:2" x14ac:dyDescent="0.2">
      <c r="A14495" t="str">
        <f>"SF3B14"</f>
        <v>SF3B14</v>
      </c>
      <c r="B14495" t="s">
        <v>8</v>
      </c>
    </row>
    <row r="14496" spans="1:2" x14ac:dyDescent="0.2">
      <c r="A14496" t="str">
        <f>"SF3B2"</f>
        <v>SF3B2</v>
      </c>
      <c r="B14496" t="s">
        <v>3</v>
      </c>
    </row>
    <row r="14497" spans="1:2" x14ac:dyDescent="0.2">
      <c r="A14497" t="str">
        <f>"SF3B3"</f>
        <v>SF3B3</v>
      </c>
      <c r="B14497" t="s">
        <v>8</v>
      </c>
    </row>
    <row r="14498" spans="1:2" x14ac:dyDescent="0.2">
      <c r="A14498" t="str">
        <f>"SF3B4"</f>
        <v>SF3B4</v>
      </c>
      <c r="B14498" t="s">
        <v>2</v>
      </c>
    </row>
    <row r="14499" spans="1:2" x14ac:dyDescent="0.2">
      <c r="A14499" t="str">
        <f>"SF3B5"</f>
        <v>SF3B5</v>
      </c>
      <c r="B14499" t="s">
        <v>8</v>
      </c>
    </row>
    <row r="14500" spans="1:2" x14ac:dyDescent="0.2">
      <c r="A14500" t="str">
        <f>"SFI1"</f>
        <v>SFI1</v>
      </c>
      <c r="B14500" t="s">
        <v>4</v>
      </c>
    </row>
    <row r="14501" spans="1:2" x14ac:dyDescent="0.2">
      <c r="A14501" t="str">
        <f>"SFMBT1"</f>
        <v>SFMBT1</v>
      </c>
      <c r="B14501" t="s">
        <v>4</v>
      </c>
    </row>
    <row r="14502" spans="1:2" x14ac:dyDescent="0.2">
      <c r="A14502" t="str">
        <f>"SFMBT2"</f>
        <v>SFMBT2</v>
      </c>
      <c r="B14502" t="s">
        <v>4</v>
      </c>
    </row>
    <row r="14503" spans="1:2" x14ac:dyDescent="0.2">
      <c r="A14503" t="str">
        <f>"SFN"</f>
        <v>SFN</v>
      </c>
      <c r="B14503" t="s">
        <v>3</v>
      </c>
    </row>
    <row r="14504" spans="1:2" x14ac:dyDescent="0.2">
      <c r="A14504" t="str">
        <f>"SFPQ"</f>
        <v>SFPQ</v>
      </c>
      <c r="B14504" t="s">
        <v>3</v>
      </c>
    </row>
    <row r="14505" spans="1:2" x14ac:dyDescent="0.2">
      <c r="A14505" t="str">
        <f>"SFR1"</f>
        <v>SFR1</v>
      </c>
      <c r="B14505" t="s">
        <v>4</v>
      </c>
    </row>
    <row r="14506" spans="1:2" x14ac:dyDescent="0.2">
      <c r="A14506" t="str">
        <f>"SFRP1"</f>
        <v>SFRP1</v>
      </c>
      <c r="B14506" t="s">
        <v>3</v>
      </c>
    </row>
    <row r="14507" spans="1:2" x14ac:dyDescent="0.2">
      <c r="A14507" t="str">
        <f>"SFRP2"</f>
        <v>SFRP2</v>
      </c>
      <c r="B14507" t="s">
        <v>3</v>
      </c>
    </row>
    <row r="14508" spans="1:2" x14ac:dyDescent="0.2">
      <c r="A14508" t="str">
        <f>"SFRP4"</f>
        <v>SFRP4</v>
      </c>
      <c r="B14508" t="s">
        <v>3</v>
      </c>
    </row>
    <row r="14509" spans="1:2" x14ac:dyDescent="0.2">
      <c r="A14509" t="str">
        <f>"SFRP5"</f>
        <v>SFRP5</v>
      </c>
      <c r="B14509" t="s">
        <v>3</v>
      </c>
    </row>
    <row r="14510" spans="1:2" x14ac:dyDescent="0.2">
      <c r="A14510" t="str">
        <f>"SFSWAP"</f>
        <v>SFSWAP</v>
      </c>
      <c r="B14510" t="s">
        <v>8</v>
      </c>
    </row>
    <row r="14511" spans="1:2" x14ac:dyDescent="0.2">
      <c r="A14511" t="str">
        <f>"SFT2D1"</f>
        <v>SFT2D1</v>
      </c>
      <c r="B14511" t="s">
        <v>6</v>
      </c>
    </row>
    <row r="14512" spans="1:2" x14ac:dyDescent="0.2">
      <c r="A14512" t="str">
        <f>"SFT2D2"</f>
        <v>SFT2D2</v>
      </c>
      <c r="B14512" t="s">
        <v>6</v>
      </c>
    </row>
    <row r="14513" spans="1:2" x14ac:dyDescent="0.2">
      <c r="A14513" t="str">
        <f>"SFT2D3"</f>
        <v>SFT2D3</v>
      </c>
      <c r="B14513" t="s">
        <v>2</v>
      </c>
    </row>
    <row r="14514" spans="1:2" x14ac:dyDescent="0.2">
      <c r="A14514" t="str">
        <f>"SFTA2"</f>
        <v>SFTA2</v>
      </c>
      <c r="B14514" t="s">
        <v>4</v>
      </c>
    </row>
    <row r="14515" spans="1:2" x14ac:dyDescent="0.2">
      <c r="A14515" t="str">
        <f>"SFTA3"</f>
        <v>SFTA3</v>
      </c>
      <c r="B14515" t="s">
        <v>4</v>
      </c>
    </row>
    <row r="14516" spans="1:2" x14ac:dyDescent="0.2">
      <c r="A14516" t="str">
        <f>"SFTPA1"</f>
        <v>SFTPA1</v>
      </c>
      <c r="B14516" t="s">
        <v>7</v>
      </c>
    </row>
    <row r="14517" spans="1:2" x14ac:dyDescent="0.2">
      <c r="A14517" t="str">
        <f>"SFTPA2"</f>
        <v>SFTPA2</v>
      </c>
      <c r="B14517" t="s">
        <v>4</v>
      </c>
    </row>
    <row r="14518" spans="1:2" x14ac:dyDescent="0.2">
      <c r="A14518" t="str">
        <f>"SFTPB"</f>
        <v>SFTPB</v>
      </c>
      <c r="B14518" t="s">
        <v>2</v>
      </c>
    </row>
    <row r="14519" spans="1:2" x14ac:dyDescent="0.2">
      <c r="A14519" t="str">
        <f>"SFTPC"</f>
        <v>SFTPC</v>
      </c>
      <c r="B14519" t="s">
        <v>5</v>
      </c>
    </row>
    <row r="14520" spans="1:2" x14ac:dyDescent="0.2">
      <c r="A14520" t="str">
        <f>"SFTPD"</f>
        <v>SFTPD</v>
      </c>
      <c r="B14520" t="s">
        <v>7</v>
      </c>
    </row>
    <row r="14521" spans="1:2" x14ac:dyDescent="0.2">
      <c r="A14521" t="str">
        <f>"SFXN1"</f>
        <v>SFXN1</v>
      </c>
      <c r="B14521" t="s">
        <v>6</v>
      </c>
    </row>
    <row r="14522" spans="1:2" x14ac:dyDescent="0.2">
      <c r="A14522" t="str">
        <f>"SFXN2"</f>
        <v>SFXN2</v>
      </c>
      <c r="B14522" t="s">
        <v>6</v>
      </c>
    </row>
    <row r="14523" spans="1:2" x14ac:dyDescent="0.2">
      <c r="A14523" t="str">
        <f>"SFXN3"</f>
        <v>SFXN3</v>
      </c>
      <c r="B14523" t="s">
        <v>6</v>
      </c>
    </row>
    <row r="14524" spans="1:2" x14ac:dyDescent="0.2">
      <c r="A14524" t="str">
        <f>"SFXN4"</f>
        <v>SFXN4</v>
      </c>
      <c r="B14524" t="s">
        <v>6</v>
      </c>
    </row>
    <row r="14525" spans="1:2" x14ac:dyDescent="0.2">
      <c r="A14525" t="str">
        <f>"SFXN5"</f>
        <v>SFXN5</v>
      </c>
      <c r="B14525" t="s">
        <v>2</v>
      </c>
    </row>
    <row r="14526" spans="1:2" x14ac:dyDescent="0.2">
      <c r="A14526" t="str">
        <f>"SGCA"</f>
        <v>SGCA</v>
      </c>
      <c r="B14526" t="s">
        <v>6</v>
      </c>
    </row>
    <row r="14527" spans="1:2" x14ac:dyDescent="0.2">
      <c r="A14527" t="str">
        <f>"SGCB"</f>
        <v>SGCB</v>
      </c>
      <c r="B14527" t="s">
        <v>6</v>
      </c>
    </row>
    <row r="14528" spans="1:2" x14ac:dyDescent="0.2">
      <c r="A14528" t="str">
        <f>"SGCD"</f>
        <v>SGCD</v>
      </c>
      <c r="B14528" t="s">
        <v>6</v>
      </c>
    </row>
    <row r="14529" spans="1:2" x14ac:dyDescent="0.2">
      <c r="A14529" t="str">
        <f>"SGCE"</f>
        <v>SGCE</v>
      </c>
      <c r="B14529" t="s">
        <v>6</v>
      </c>
    </row>
    <row r="14530" spans="1:2" x14ac:dyDescent="0.2">
      <c r="A14530" t="str">
        <f>"SGCG"</f>
        <v>SGCG</v>
      </c>
      <c r="B14530" t="s">
        <v>6</v>
      </c>
    </row>
    <row r="14531" spans="1:2" x14ac:dyDescent="0.2">
      <c r="A14531" t="str">
        <f>"SGCZ"</f>
        <v>SGCZ</v>
      </c>
      <c r="B14531" t="s">
        <v>6</v>
      </c>
    </row>
    <row r="14532" spans="1:2" x14ac:dyDescent="0.2">
      <c r="A14532" t="str">
        <f>"SGIP1"</f>
        <v>SGIP1</v>
      </c>
      <c r="B14532" t="s">
        <v>6</v>
      </c>
    </row>
    <row r="14533" spans="1:2" x14ac:dyDescent="0.2">
      <c r="A14533" t="str">
        <f>"SGK1"</f>
        <v>SGK1</v>
      </c>
      <c r="B14533" t="s">
        <v>7</v>
      </c>
    </row>
    <row r="14534" spans="1:2" x14ac:dyDescent="0.2">
      <c r="A14534" t="str">
        <f>"SGK2"</f>
        <v>SGK2</v>
      </c>
      <c r="B14534" t="s">
        <v>7</v>
      </c>
    </row>
    <row r="14535" spans="1:2" x14ac:dyDescent="0.2">
      <c r="A14535" t="str">
        <f>"SGK223"</f>
        <v>SGK223</v>
      </c>
      <c r="B14535" t="s">
        <v>7</v>
      </c>
    </row>
    <row r="14536" spans="1:2" x14ac:dyDescent="0.2">
      <c r="A14536" t="str">
        <f>"SGK3"</f>
        <v>SGK3</v>
      </c>
      <c r="B14536" t="s">
        <v>7</v>
      </c>
    </row>
    <row r="14537" spans="1:2" x14ac:dyDescent="0.2">
      <c r="A14537" t="str">
        <f>"SGK494"</f>
        <v>SGK494</v>
      </c>
      <c r="B14537" t="s">
        <v>7</v>
      </c>
    </row>
    <row r="14538" spans="1:2" x14ac:dyDescent="0.2">
      <c r="A14538" t="str">
        <f>"SGMS1"</f>
        <v>SGMS1</v>
      </c>
      <c r="B14538" t="s">
        <v>2</v>
      </c>
    </row>
    <row r="14539" spans="1:2" x14ac:dyDescent="0.2">
      <c r="A14539" t="str">
        <f>"SGMS2"</f>
        <v>SGMS2</v>
      </c>
      <c r="B14539" t="s">
        <v>3</v>
      </c>
    </row>
    <row r="14540" spans="1:2" x14ac:dyDescent="0.2">
      <c r="A14540" t="str">
        <f>"SGOL1"</f>
        <v>SGOL1</v>
      </c>
      <c r="B14540" t="s">
        <v>3</v>
      </c>
    </row>
    <row r="14541" spans="1:2" x14ac:dyDescent="0.2">
      <c r="A14541" t="str">
        <f>"SGOL2"</f>
        <v>SGOL2</v>
      </c>
      <c r="B14541" t="s">
        <v>3</v>
      </c>
    </row>
    <row r="14542" spans="1:2" x14ac:dyDescent="0.2">
      <c r="A14542" t="str">
        <f>"SGPL1"</f>
        <v>SGPL1</v>
      </c>
      <c r="B14542" t="s">
        <v>7</v>
      </c>
    </row>
    <row r="14543" spans="1:2" x14ac:dyDescent="0.2">
      <c r="A14543" t="str">
        <f>"SGPP1"</f>
        <v>SGPP1</v>
      </c>
      <c r="B14543" t="s">
        <v>7</v>
      </c>
    </row>
    <row r="14544" spans="1:2" x14ac:dyDescent="0.2">
      <c r="A14544" t="str">
        <f>"SGPP2"</f>
        <v>SGPP2</v>
      </c>
      <c r="B14544" t="s">
        <v>3</v>
      </c>
    </row>
    <row r="14545" spans="1:2" x14ac:dyDescent="0.2">
      <c r="A14545" t="str">
        <f>"SGSH"</f>
        <v>SGSH</v>
      </c>
      <c r="B14545" t="s">
        <v>2</v>
      </c>
    </row>
    <row r="14546" spans="1:2" x14ac:dyDescent="0.2">
      <c r="A14546" t="str">
        <f>"SGSM1"</f>
        <v>SGSM1</v>
      </c>
      <c r="B14546" t="s">
        <v>4</v>
      </c>
    </row>
    <row r="14547" spans="1:2" x14ac:dyDescent="0.2">
      <c r="A14547" t="str">
        <f>"SGSM2"</f>
        <v>SGSM2</v>
      </c>
      <c r="B14547" t="s">
        <v>4</v>
      </c>
    </row>
    <row r="14548" spans="1:2" x14ac:dyDescent="0.2">
      <c r="A14548" t="str">
        <f>"SGSM3"</f>
        <v>SGSM3</v>
      </c>
      <c r="B14548" t="s">
        <v>3</v>
      </c>
    </row>
    <row r="14549" spans="1:2" x14ac:dyDescent="0.2">
      <c r="A14549" t="str">
        <f>"SGTA"</f>
        <v>SGTA</v>
      </c>
      <c r="B14549" t="s">
        <v>2</v>
      </c>
    </row>
    <row r="14550" spans="1:2" x14ac:dyDescent="0.2">
      <c r="A14550" t="str">
        <f>"SGTB"</f>
        <v>SGTB</v>
      </c>
      <c r="B14550" t="s">
        <v>2</v>
      </c>
    </row>
    <row r="14551" spans="1:2" x14ac:dyDescent="0.2">
      <c r="A14551" t="str">
        <f>"SH2B1"</f>
        <v>SH2B1</v>
      </c>
      <c r="B14551" t="s">
        <v>4</v>
      </c>
    </row>
    <row r="14552" spans="1:2" x14ac:dyDescent="0.2">
      <c r="A14552" t="str">
        <f>"SH2B2"</f>
        <v>SH2B2</v>
      </c>
      <c r="B14552" t="s">
        <v>6</v>
      </c>
    </row>
    <row r="14553" spans="1:2" x14ac:dyDescent="0.2">
      <c r="A14553" t="str">
        <f>"SH2B3"</f>
        <v>SH2B3</v>
      </c>
      <c r="B14553" t="s">
        <v>3</v>
      </c>
    </row>
    <row r="14554" spans="1:2" x14ac:dyDescent="0.2">
      <c r="A14554" t="str">
        <f>"SH2D1A"</f>
        <v>SH2D1A</v>
      </c>
      <c r="B14554" t="s">
        <v>3</v>
      </c>
    </row>
    <row r="14555" spans="1:2" x14ac:dyDescent="0.2">
      <c r="A14555" t="str">
        <f>"SH2D1B"</f>
        <v>SH2D1B</v>
      </c>
      <c r="B14555" t="s">
        <v>3</v>
      </c>
    </row>
    <row r="14556" spans="1:2" x14ac:dyDescent="0.2">
      <c r="A14556" t="str">
        <f>"SH2D2A"</f>
        <v>SH2D2A</v>
      </c>
      <c r="B14556" t="s">
        <v>4</v>
      </c>
    </row>
    <row r="14557" spans="1:2" x14ac:dyDescent="0.2">
      <c r="A14557" t="str">
        <f>"SH2D3A"</f>
        <v>SH2D3A</v>
      </c>
      <c r="B14557" t="s">
        <v>4</v>
      </c>
    </row>
    <row r="14558" spans="1:2" x14ac:dyDescent="0.2">
      <c r="A14558" t="str">
        <f>"SH2D3C"</f>
        <v>SH2D3C</v>
      </c>
      <c r="B14558" t="s">
        <v>4</v>
      </c>
    </row>
    <row r="14559" spans="1:2" x14ac:dyDescent="0.2">
      <c r="A14559" t="str">
        <f>"SH2D4A"</f>
        <v>SH2D4A</v>
      </c>
      <c r="B14559" t="s">
        <v>4</v>
      </c>
    </row>
    <row r="14560" spans="1:2" x14ac:dyDescent="0.2">
      <c r="A14560" t="str">
        <f>"SH2D4B"</f>
        <v>SH2D4B</v>
      </c>
      <c r="B14560" t="s">
        <v>4</v>
      </c>
    </row>
    <row r="14561" spans="1:2" x14ac:dyDescent="0.2">
      <c r="A14561" t="str">
        <f>"SH2D5"</f>
        <v>SH2D5</v>
      </c>
      <c r="B14561" t="s">
        <v>4</v>
      </c>
    </row>
    <row r="14562" spans="1:2" x14ac:dyDescent="0.2">
      <c r="A14562" t="str">
        <f>"SH2D6"</f>
        <v>SH2D6</v>
      </c>
      <c r="B14562" t="s">
        <v>4</v>
      </c>
    </row>
    <row r="14563" spans="1:2" x14ac:dyDescent="0.2">
      <c r="A14563" t="str">
        <f>"SH2D7"</f>
        <v>SH2D7</v>
      </c>
      <c r="B14563" t="s">
        <v>4</v>
      </c>
    </row>
    <row r="14564" spans="1:2" x14ac:dyDescent="0.2">
      <c r="A14564" t="str">
        <f>"SH3BGR"</f>
        <v>SH3BGR</v>
      </c>
      <c r="B14564" t="s">
        <v>4</v>
      </c>
    </row>
    <row r="14565" spans="1:2" x14ac:dyDescent="0.2">
      <c r="A14565" t="str">
        <f>"SH3BGRL"</f>
        <v>SH3BGRL</v>
      </c>
      <c r="B14565" t="s">
        <v>6</v>
      </c>
    </row>
    <row r="14566" spans="1:2" x14ac:dyDescent="0.2">
      <c r="A14566" t="str">
        <f>"SH3BGRL2"</f>
        <v>SH3BGRL2</v>
      </c>
      <c r="B14566" t="s">
        <v>4</v>
      </c>
    </row>
    <row r="14567" spans="1:2" x14ac:dyDescent="0.2">
      <c r="A14567" t="str">
        <f>"SH3BGRL3"</f>
        <v>SH3BGRL3</v>
      </c>
      <c r="B14567" t="s">
        <v>4</v>
      </c>
    </row>
    <row r="14568" spans="1:2" x14ac:dyDescent="0.2">
      <c r="A14568" t="str">
        <f>"SH3BP1"</f>
        <v>SH3BP1</v>
      </c>
      <c r="B14568" t="s">
        <v>3</v>
      </c>
    </row>
    <row r="14569" spans="1:2" x14ac:dyDescent="0.2">
      <c r="A14569" t="str">
        <f>"SH3BP2"</f>
        <v>SH3BP2</v>
      </c>
      <c r="B14569" t="s">
        <v>4</v>
      </c>
    </row>
    <row r="14570" spans="1:2" x14ac:dyDescent="0.2">
      <c r="A14570" t="str">
        <f>"SH3BP4"</f>
        <v>SH3BP4</v>
      </c>
      <c r="B14570" t="s">
        <v>3</v>
      </c>
    </row>
    <row r="14571" spans="1:2" x14ac:dyDescent="0.2">
      <c r="A14571" t="str">
        <f>"SH3BP5"</f>
        <v>SH3BP5</v>
      </c>
      <c r="B14571" t="s">
        <v>6</v>
      </c>
    </row>
    <row r="14572" spans="1:2" x14ac:dyDescent="0.2">
      <c r="A14572" t="str">
        <f>"SH3BP5L"</f>
        <v>SH3BP5L</v>
      </c>
      <c r="B14572" t="s">
        <v>4</v>
      </c>
    </row>
    <row r="14573" spans="1:2" x14ac:dyDescent="0.2">
      <c r="A14573" t="str">
        <f>"SH3D19"</f>
        <v>SH3D19</v>
      </c>
      <c r="B14573" t="s">
        <v>6</v>
      </c>
    </row>
    <row r="14574" spans="1:2" x14ac:dyDescent="0.2">
      <c r="A14574" t="str">
        <f>"SH3D21"</f>
        <v>SH3D21</v>
      </c>
      <c r="B14574" t="s">
        <v>4</v>
      </c>
    </row>
    <row r="14575" spans="1:2" x14ac:dyDescent="0.2">
      <c r="A14575" t="str">
        <f>"SH3GL1"</f>
        <v>SH3GL1</v>
      </c>
      <c r="B14575" t="s">
        <v>3</v>
      </c>
    </row>
    <row r="14576" spans="1:2" x14ac:dyDescent="0.2">
      <c r="A14576" t="str">
        <f>"SH3GL2"</f>
        <v>SH3GL2</v>
      </c>
      <c r="B14576" t="s">
        <v>3</v>
      </c>
    </row>
    <row r="14577" spans="1:2" x14ac:dyDescent="0.2">
      <c r="A14577" t="str">
        <f>"SH3GL3"</f>
        <v>SH3GL3</v>
      </c>
      <c r="B14577" t="s">
        <v>6</v>
      </c>
    </row>
    <row r="14578" spans="1:2" x14ac:dyDescent="0.2">
      <c r="A14578" t="str">
        <f>"SH3GLB1"</f>
        <v>SH3GLB1</v>
      </c>
      <c r="B14578" t="s">
        <v>2</v>
      </c>
    </row>
    <row r="14579" spans="1:2" x14ac:dyDescent="0.2">
      <c r="A14579" t="str">
        <f>"SH3GLB2"</f>
        <v>SH3GLB2</v>
      </c>
      <c r="B14579" t="s">
        <v>6</v>
      </c>
    </row>
    <row r="14580" spans="1:2" x14ac:dyDescent="0.2">
      <c r="A14580" t="str">
        <f>"SH3KBP1"</f>
        <v>SH3KBP1</v>
      </c>
      <c r="B14580" t="s">
        <v>7</v>
      </c>
    </row>
    <row r="14581" spans="1:2" x14ac:dyDescent="0.2">
      <c r="A14581" t="str">
        <f>"SH3PXD2A"</f>
        <v>SH3PXD2A</v>
      </c>
      <c r="B14581" t="s">
        <v>4</v>
      </c>
    </row>
    <row r="14582" spans="1:2" x14ac:dyDescent="0.2">
      <c r="A14582" t="str">
        <f>"SH3PXD2B"</f>
        <v>SH3PXD2B</v>
      </c>
      <c r="B14582" t="s">
        <v>2</v>
      </c>
    </row>
    <row r="14583" spans="1:2" x14ac:dyDescent="0.2">
      <c r="A14583" t="str">
        <f>"SH3RF1"</f>
        <v>SH3RF1</v>
      </c>
      <c r="B14583" t="s">
        <v>2</v>
      </c>
    </row>
    <row r="14584" spans="1:2" x14ac:dyDescent="0.2">
      <c r="A14584" t="str">
        <f>"SH3RF2"</f>
        <v>SH3RF2</v>
      </c>
      <c r="B14584" t="s">
        <v>2</v>
      </c>
    </row>
    <row r="14585" spans="1:2" x14ac:dyDescent="0.2">
      <c r="A14585" t="str">
        <f>"SH3RF3"</f>
        <v>SH3RF3</v>
      </c>
      <c r="B14585" t="s">
        <v>2</v>
      </c>
    </row>
    <row r="14586" spans="1:2" x14ac:dyDescent="0.2">
      <c r="A14586" t="str">
        <f>"SH3TC1"</f>
        <v>SH3TC1</v>
      </c>
      <c r="B14586" t="s">
        <v>5</v>
      </c>
    </row>
    <row r="14587" spans="1:2" x14ac:dyDescent="0.2">
      <c r="A14587" t="str">
        <f>"SH3TC2"</f>
        <v>SH3TC2</v>
      </c>
      <c r="B14587" t="s">
        <v>4</v>
      </c>
    </row>
    <row r="14588" spans="1:2" x14ac:dyDescent="0.2">
      <c r="A14588" t="str">
        <f>"SH3YL1"</f>
        <v>SH3YL1</v>
      </c>
      <c r="B14588" t="s">
        <v>4</v>
      </c>
    </row>
    <row r="14589" spans="1:2" x14ac:dyDescent="0.2">
      <c r="A14589" t="str">
        <f>"SHANK1"</f>
        <v>SHANK1</v>
      </c>
      <c r="B14589" t="s">
        <v>3</v>
      </c>
    </row>
    <row r="14590" spans="1:2" x14ac:dyDescent="0.2">
      <c r="A14590" t="str">
        <f>"SHANK2"</f>
        <v>SHANK2</v>
      </c>
      <c r="B14590" t="s">
        <v>2</v>
      </c>
    </row>
    <row r="14591" spans="1:2" x14ac:dyDescent="0.2">
      <c r="A14591" t="str">
        <f>"SHANK3"</f>
        <v>SHANK3</v>
      </c>
      <c r="B14591" t="s">
        <v>8</v>
      </c>
    </row>
    <row r="14592" spans="1:2" x14ac:dyDescent="0.2">
      <c r="A14592" t="str">
        <f>"SHARPIN"</f>
        <v>SHARPIN</v>
      </c>
      <c r="B14592" t="s">
        <v>7</v>
      </c>
    </row>
    <row r="14593" spans="1:2" x14ac:dyDescent="0.2">
      <c r="A14593" t="str">
        <f>"SHB"</f>
        <v>SHB</v>
      </c>
      <c r="B14593" t="s">
        <v>4</v>
      </c>
    </row>
    <row r="14594" spans="1:2" x14ac:dyDescent="0.2">
      <c r="A14594" t="str">
        <f>"SHBG"</f>
        <v>SHBG</v>
      </c>
      <c r="B14594" t="s">
        <v>6</v>
      </c>
    </row>
    <row r="14595" spans="1:2" x14ac:dyDescent="0.2">
      <c r="A14595" t="str">
        <f>"SHC1"</f>
        <v>SHC1</v>
      </c>
      <c r="B14595" t="s">
        <v>3</v>
      </c>
    </row>
    <row r="14596" spans="1:2" x14ac:dyDescent="0.2">
      <c r="A14596" t="str">
        <f>"SHC2"</f>
        <v>SHC2</v>
      </c>
      <c r="B14596" t="s">
        <v>3</v>
      </c>
    </row>
    <row r="14597" spans="1:2" x14ac:dyDescent="0.2">
      <c r="A14597" t="str">
        <f>"SHC3"</f>
        <v>SHC3</v>
      </c>
      <c r="B14597" t="s">
        <v>4</v>
      </c>
    </row>
    <row r="14598" spans="1:2" x14ac:dyDescent="0.2">
      <c r="A14598" t="str">
        <f>"SHC4"</f>
        <v>SHC4</v>
      </c>
      <c r="B14598" t="s">
        <v>4</v>
      </c>
    </row>
    <row r="14599" spans="1:2" x14ac:dyDescent="0.2">
      <c r="A14599" t="str">
        <f>"SHCBP1"</f>
        <v>SHCBP1</v>
      </c>
      <c r="B14599" t="s">
        <v>4</v>
      </c>
    </row>
    <row r="14600" spans="1:2" x14ac:dyDescent="0.2">
      <c r="A14600" t="str">
        <f>"SHCBP1L"</f>
        <v>SHCBP1L</v>
      </c>
      <c r="B14600" t="s">
        <v>4</v>
      </c>
    </row>
    <row r="14601" spans="1:2" x14ac:dyDescent="0.2">
      <c r="A14601" t="str">
        <f>"SHD"</f>
        <v>SHD</v>
      </c>
      <c r="B14601" t="s">
        <v>4</v>
      </c>
    </row>
    <row r="14602" spans="1:2" x14ac:dyDescent="0.2">
      <c r="A14602" t="str">
        <f>"SHE"</f>
        <v>SHE</v>
      </c>
      <c r="B14602" t="s">
        <v>4</v>
      </c>
    </row>
    <row r="14603" spans="1:2" x14ac:dyDescent="0.2">
      <c r="A14603" t="str">
        <f>"SHF"</f>
        <v>SHF</v>
      </c>
      <c r="B14603" t="s">
        <v>4</v>
      </c>
    </row>
    <row r="14604" spans="1:2" x14ac:dyDescent="0.2">
      <c r="A14604" t="str">
        <f>"SHFM1"</f>
        <v>SHFM1</v>
      </c>
      <c r="B14604" t="s">
        <v>2</v>
      </c>
    </row>
    <row r="14605" spans="1:2" x14ac:dyDescent="0.2">
      <c r="A14605" t="str">
        <f>"SHH"</f>
        <v>SHH</v>
      </c>
      <c r="B14605" t="s">
        <v>3</v>
      </c>
    </row>
    <row r="14606" spans="1:2" x14ac:dyDescent="0.2">
      <c r="A14606" t="str">
        <f>"SHISA2"</f>
        <v>SHISA2</v>
      </c>
      <c r="B14606" t="s">
        <v>5</v>
      </c>
    </row>
    <row r="14607" spans="1:2" x14ac:dyDescent="0.2">
      <c r="A14607" t="str">
        <f>"SHISA3"</f>
        <v>SHISA3</v>
      </c>
      <c r="B14607" t="s">
        <v>5</v>
      </c>
    </row>
    <row r="14608" spans="1:2" x14ac:dyDescent="0.2">
      <c r="A14608" t="str">
        <f>"SHISA4"</f>
        <v>SHISA4</v>
      </c>
      <c r="B14608" t="s">
        <v>5</v>
      </c>
    </row>
    <row r="14609" spans="1:2" x14ac:dyDescent="0.2">
      <c r="A14609" t="str">
        <f>"SHISA5"</f>
        <v>SHISA5</v>
      </c>
      <c r="B14609" t="s">
        <v>6</v>
      </c>
    </row>
    <row r="14610" spans="1:2" x14ac:dyDescent="0.2">
      <c r="A14610" t="str">
        <f>"SHISA6"</f>
        <v>SHISA6</v>
      </c>
      <c r="B14610" t="s">
        <v>4</v>
      </c>
    </row>
    <row r="14611" spans="1:2" x14ac:dyDescent="0.2">
      <c r="A14611" t="str">
        <f>"SHISA7"</f>
        <v>SHISA7</v>
      </c>
      <c r="B14611" t="s">
        <v>4</v>
      </c>
    </row>
    <row r="14612" spans="1:2" x14ac:dyDescent="0.2">
      <c r="A14612" t="str">
        <f>"SHISA8"</f>
        <v>SHISA8</v>
      </c>
      <c r="B14612" t="s">
        <v>8</v>
      </c>
    </row>
    <row r="14613" spans="1:2" x14ac:dyDescent="0.2">
      <c r="A14613" t="str">
        <f>"SHISA9"</f>
        <v>SHISA9</v>
      </c>
      <c r="B14613" t="s">
        <v>5</v>
      </c>
    </row>
    <row r="14614" spans="1:2" x14ac:dyDescent="0.2">
      <c r="A14614" t="str">
        <f>"SHKBP1"</f>
        <v>SHKBP1</v>
      </c>
      <c r="B14614" t="s">
        <v>2</v>
      </c>
    </row>
    <row r="14615" spans="1:2" x14ac:dyDescent="0.2">
      <c r="A14615" t="str">
        <f>"SHMT1"</f>
        <v>SHMT1</v>
      </c>
      <c r="B14615" t="s">
        <v>7</v>
      </c>
    </row>
    <row r="14616" spans="1:2" x14ac:dyDescent="0.2">
      <c r="A14616" t="str">
        <f>"SHMT2"</f>
        <v>SHMT2</v>
      </c>
      <c r="B14616" t="s">
        <v>7</v>
      </c>
    </row>
    <row r="14617" spans="1:2" x14ac:dyDescent="0.2">
      <c r="A14617" t="str">
        <f>"SHOC2"</f>
        <v>SHOC2</v>
      </c>
      <c r="B14617" t="s">
        <v>4</v>
      </c>
    </row>
    <row r="14618" spans="1:2" x14ac:dyDescent="0.2">
      <c r="A14618" t="str">
        <f>"SHOX"</f>
        <v>SHOX</v>
      </c>
      <c r="B14618" t="s">
        <v>8</v>
      </c>
    </row>
    <row r="14619" spans="1:2" x14ac:dyDescent="0.2">
      <c r="A14619" t="str">
        <f>"SHOX2"</f>
        <v>SHOX2</v>
      </c>
      <c r="B14619" t="s">
        <v>3</v>
      </c>
    </row>
    <row r="14620" spans="1:2" x14ac:dyDescent="0.2">
      <c r="A14620" t="str">
        <f>"SHPK"</f>
        <v>SHPK</v>
      </c>
      <c r="B14620" t="s">
        <v>7</v>
      </c>
    </row>
    <row r="14621" spans="1:2" x14ac:dyDescent="0.2">
      <c r="A14621" t="str">
        <f>"SHPRH"</f>
        <v>SHPRH</v>
      </c>
      <c r="B14621" t="s">
        <v>3</v>
      </c>
    </row>
    <row r="14622" spans="1:2" x14ac:dyDescent="0.2">
      <c r="A14622" t="str">
        <f>"SHQ1"</f>
        <v>SHQ1</v>
      </c>
      <c r="B14622" t="s">
        <v>8</v>
      </c>
    </row>
    <row r="14623" spans="1:2" x14ac:dyDescent="0.2">
      <c r="A14623" t="str">
        <f>"SHROOM1"</f>
        <v>SHROOM1</v>
      </c>
      <c r="B14623" t="s">
        <v>6</v>
      </c>
    </row>
    <row r="14624" spans="1:2" x14ac:dyDescent="0.2">
      <c r="A14624" t="str">
        <f>"SHROOM2"</f>
        <v>SHROOM2</v>
      </c>
      <c r="B14624" t="s">
        <v>6</v>
      </c>
    </row>
    <row r="14625" spans="1:2" x14ac:dyDescent="0.2">
      <c r="A14625" t="str">
        <f>"SHROOM3"</f>
        <v>SHROOM3</v>
      </c>
      <c r="B14625" t="s">
        <v>6</v>
      </c>
    </row>
    <row r="14626" spans="1:2" x14ac:dyDescent="0.2">
      <c r="A14626" t="str">
        <f>"SHROOM4"</f>
        <v>SHROOM4</v>
      </c>
      <c r="B14626" t="s">
        <v>6</v>
      </c>
    </row>
    <row r="14627" spans="1:2" x14ac:dyDescent="0.2">
      <c r="A14627" t="str">
        <f>"SI"</f>
        <v>SI</v>
      </c>
      <c r="B14627" t="s">
        <v>7</v>
      </c>
    </row>
    <row r="14628" spans="1:2" x14ac:dyDescent="0.2">
      <c r="A14628" t="str">
        <f>"SIAE"</f>
        <v>SIAE</v>
      </c>
      <c r="B14628" t="s">
        <v>2</v>
      </c>
    </row>
    <row r="14629" spans="1:2" x14ac:dyDescent="0.2">
      <c r="A14629" t="str">
        <f>"SIAH1"</f>
        <v>SIAH1</v>
      </c>
      <c r="B14629" t="s">
        <v>3</v>
      </c>
    </row>
    <row r="14630" spans="1:2" x14ac:dyDescent="0.2">
      <c r="A14630" t="str">
        <f>"SIAH2"</f>
        <v>SIAH2</v>
      </c>
      <c r="B14630" t="s">
        <v>2</v>
      </c>
    </row>
    <row r="14631" spans="1:2" x14ac:dyDescent="0.2">
      <c r="A14631" t="str">
        <f>"SIAH3"</f>
        <v>SIAH3</v>
      </c>
      <c r="B14631" t="s">
        <v>2</v>
      </c>
    </row>
    <row r="14632" spans="1:2" x14ac:dyDescent="0.2">
      <c r="A14632" t="str">
        <f>"SIDT1"</f>
        <v>SIDT1</v>
      </c>
      <c r="B14632" t="s">
        <v>5</v>
      </c>
    </row>
    <row r="14633" spans="1:2" x14ac:dyDescent="0.2">
      <c r="A14633" t="str">
        <f>"SIDT2"</f>
        <v>SIDT2</v>
      </c>
      <c r="B14633" t="s">
        <v>5</v>
      </c>
    </row>
    <row r="14634" spans="1:2" x14ac:dyDescent="0.2">
      <c r="A14634" t="str">
        <f>"SIGIRR"</f>
        <v>SIGIRR</v>
      </c>
      <c r="B14634" t="s">
        <v>8</v>
      </c>
    </row>
    <row r="14635" spans="1:2" x14ac:dyDescent="0.2">
      <c r="A14635" t="str">
        <f>"SIGLEC1"</f>
        <v>SIGLEC1</v>
      </c>
      <c r="B14635" t="s">
        <v>7</v>
      </c>
    </row>
    <row r="14636" spans="1:2" x14ac:dyDescent="0.2">
      <c r="A14636" t="str">
        <f>"SIGLEC10"</f>
        <v>SIGLEC10</v>
      </c>
      <c r="B14636" t="s">
        <v>5</v>
      </c>
    </row>
    <row r="14637" spans="1:2" x14ac:dyDescent="0.2">
      <c r="A14637" t="str">
        <f>"SIGLEC11"</f>
        <v>SIGLEC11</v>
      </c>
      <c r="B14637" t="s">
        <v>5</v>
      </c>
    </row>
    <row r="14638" spans="1:2" x14ac:dyDescent="0.2">
      <c r="A14638" t="str">
        <f>"SIGLEC12"</f>
        <v>SIGLEC12</v>
      </c>
      <c r="B14638" t="s">
        <v>5</v>
      </c>
    </row>
    <row r="14639" spans="1:2" x14ac:dyDescent="0.2">
      <c r="A14639" t="str">
        <f>"SIGLEC14"</f>
        <v>SIGLEC14</v>
      </c>
      <c r="B14639" t="s">
        <v>4</v>
      </c>
    </row>
    <row r="14640" spans="1:2" x14ac:dyDescent="0.2">
      <c r="A14640" t="str">
        <f>"SIGLEC15"</f>
        <v>SIGLEC15</v>
      </c>
      <c r="B14640" t="s">
        <v>5</v>
      </c>
    </row>
    <row r="14641" spans="1:2" x14ac:dyDescent="0.2">
      <c r="A14641" t="str">
        <f>"SIGLEC5"</f>
        <v>SIGLEC5</v>
      </c>
      <c r="B14641" t="s">
        <v>5</v>
      </c>
    </row>
    <row r="14642" spans="1:2" x14ac:dyDescent="0.2">
      <c r="A14642" t="str">
        <f>"SIGLEC6"</f>
        <v>SIGLEC6</v>
      </c>
      <c r="B14642" t="s">
        <v>4</v>
      </c>
    </row>
    <row r="14643" spans="1:2" x14ac:dyDescent="0.2">
      <c r="A14643" t="str">
        <f>"SIGLEC7"</f>
        <v>SIGLEC7</v>
      </c>
      <c r="B14643" t="s">
        <v>7</v>
      </c>
    </row>
    <row r="14644" spans="1:2" x14ac:dyDescent="0.2">
      <c r="A14644" t="str">
        <f>"SIGLEC8"</f>
        <v>SIGLEC8</v>
      </c>
      <c r="B14644" t="s">
        <v>5</v>
      </c>
    </row>
    <row r="14645" spans="1:2" x14ac:dyDescent="0.2">
      <c r="A14645" t="str">
        <f>"SIGLEC9"</f>
        <v>SIGLEC9</v>
      </c>
      <c r="B14645" t="s">
        <v>5</v>
      </c>
    </row>
    <row r="14646" spans="1:2" x14ac:dyDescent="0.2">
      <c r="A14646" t="str">
        <f>"SIGLECL1"</f>
        <v>SIGLECL1</v>
      </c>
      <c r="B14646" t="s">
        <v>5</v>
      </c>
    </row>
    <row r="14647" spans="1:2" x14ac:dyDescent="0.2">
      <c r="A14647" t="str">
        <f>"SIGMAR1"</f>
        <v>SIGMAR1</v>
      </c>
      <c r="B14647" t="s">
        <v>7</v>
      </c>
    </row>
    <row r="14648" spans="1:2" x14ac:dyDescent="0.2">
      <c r="A14648" t="str">
        <f>"SIK1"</f>
        <v>SIK1</v>
      </c>
      <c r="B14648" t="s">
        <v>7</v>
      </c>
    </row>
    <row r="14649" spans="1:2" x14ac:dyDescent="0.2">
      <c r="A14649" t="str">
        <f>"SIK2"</f>
        <v>SIK2</v>
      </c>
      <c r="B14649" t="s">
        <v>7</v>
      </c>
    </row>
    <row r="14650" spans="1:2" x14ac:dyDescent="0.2">
      <c r="A14650" t="str">
        <f>"SIK3"</f>
        <v>SIK3</v>
      </c>
      <c r="B14650" t="s">
        <v>7</v>
      </c>
    </row>
    <row r="14651" spans="1:2" x14ac:dyDescent="0.2">
      <c r="A14651" t="str">
        <f>"SIKE1"</f>
        <v>SIKE1</v>
      </c>
      <c r="B14651" t="s">
        <v>4</v>
      </c>
    </row>
    <row r="14652" spans="1:2" x14ac:dyDescent="0.2">
      <c r="A14652" t="str">
        <f>"SIL1"</f>
        <v>SIL1</v>
      </c>
      <c r="B14652" t="s">
        <v>2</v>
      </c>
    </row>
    <row r="14653" spans="1:2" x14ac:dyDescent="0.2">
      <c r="A14653" t="str">
        <f>"SIM1"</f>
        <v>SIM1</v>
      </c>
      <c r="B14653" t="s">
        <v>8</v>
      </c>
    </row>
    <row r="14654" spans="1:2" x14ac:dyDescent="0.2">
      <c r="A14654" t="str">
        <f>"SIM2"</f>
        <v>SIM2</v>
      </c>
      <c r="B14654" t="s">
        <v>8</v>
      </c>
    </row>
    <row r="14655" spans="1:2" x14ac:dyDescent="0.2">
      <c r="A14655" t="str">
        <f>"SIMC1"</f>
        <v>SIMC1</v>
      </c>
      <c r="B14655" t="s">
        <v>4</v>
      </c>
    </row>
    <row r="14656" spans="1:2" x14ac:dyDescent="0.2">
      <c r="A14656" t="str">
        <f>"SIN3A"</f>
        <v>SIN3A</v>
      </c>
      <c r="B14656" t="s">
        <v>3</v>
      </c>
    </row>
    <row r="14657" spans="1:2" x14ac:dyDescent="0.2">
      <c r="A14657" t="str">
        <f>"SIN3B"</f>
        <v>SIN3B</v>
      </c>
      <c r="B14657" t="s">
        <v>8</v>
      </c>
    </row>
    <row r="14658" spans="1:2" x14ac:dyDescent="0.2">
      <c r="A14658" t="str">
        <f>"SIPA1"</f>
        <v>SIPA1</v>
      </c>
      <c r="B14658" t="s">
        <v>3</v>
      </c>
    </row>
    <row r="14659" spans="1:2" x14ac:dyDescent="0.2">
      <c r="A14659" t="str">
        <f>"SIPA1L1"</f>
        <v>SIPA1L1</v>
      </c>
      <c r="B14659" t="s">
        <v>3</v>
      </c>
    </row>
    <row r="14660" spans="1:2" x14ac:dyDescent="0.2">
      <c r="A14660" t="str">
        <f>"SIPA1L2"</f>
        <v>SIPA1L2</v>
      </c>
      <c r="B14660" t="s">
        <v>4</v>
      </c>
    </row>
    <row r="14661" spans="1:2" x14ac:dyDescent="0.2">
      <c r="A14661" t="str">
        <f>"SIPA1L3"</f>
        <v>SIPA1L3</v>
      </c>
      <c r="B14661" t="s">
        <v>4</v>
      </c>
    </row>
    <row r="14662" spans="1:2" x14ac:dyDescent="0.2">
      <c r="A14662" t="str">
        <f>"SIRPA"</f>
        <v>SIRPA</v>
      </c>
      <c r="B14662" t="s">
        <v>7</v>
      </c>
    </row>
    <row r="14663" spans="1:2" x14ac:dyDescent="0.2">
      <c r="A14663" t="str">
        <f>"SIRPB1"</f>
        <v>SIRPB1</v>
      </c>
      <c r="B14663" t="s">
        <v>5</v>
      </c>
    </row>
    <row r="14664" spans="1:2" x14ac:dyDescent="0.2">
      <c r="A14664" t="str">
        <f>"SIRPB2"</f>
        <v>SIRPB2</v>
      </c>
      <c r="B14664" t="s">
        <v>5</v>
      </c>
    </row>
    <row r="14665" spans="1:2" x14ac:dyDescent="0.2">
      <c r="A14665" t="str">
        <f>"SIRPD"</f>
        <v>SIRPD</v>
      </c>
      <c r="B14665" t="s">
        <v>7</v>
      </c>
    </row>
    <row r="14666" spans="1:2" x14ac:dyDescent="0.2">
      <c r="A14666" t="str">
        <f>"SIRPG"</f>
        <v>SIRPG</v>
      </c>
      <c r="B14666" t="s">
        <v>5</v>
      </c>
    </row>
    <row r="14667" spans="1:2" x14ac:dyDescent="0.2">
      <c r="A14667" t="str">
        <f>"SIRT1"</f>
        <v>SIRT1</v>
      </c>
      <c r="B14667" t="s">
        <v>3</v>
      </c>
    </row>
    <row r="14668" spans="1:2" x14ac:dyDescent="0.2">
      <c r="A14668" t="str">
        <f>"SIRT2"</f>
        <v>SIRT2</v>
      </c>
      <c r="B14668" t="s">
        <v>3</v>
      </c>
    </row>
    <row r="14669" spans="1:2" x14ac:dyDescent="0.2">
      <c r="A14669" t="str">
        <f>"SIRT3"</f>
        <v>SIRT3</v>
      </c>
      <c r="B14669" t="s">
        <v>7</v>
      </c>
    </row>
    <row r="14670" spans="1:2" x14ac:dyDescent="0.2">
      <c r="A14670" t="str">
        <f>"SIRT4"</f>
        <v>SIRT4</v>
      </c>
      <c r="B14670" t="s">
        <v>2</v>
      </c>
    </row>
    <row r="14671" spans="1:2" x14ac:dyDescent="0.2">
      <c r="A14671" t="str">
        <f>"SIRT5"</f>
        <v>SIRT5</v>
      </c>
      <c r="B14671" t="s">
        <v>3</v>
      </c>
    </row>
    <row r="14672" spans="1:2" x14ac:dyDescent="0.2">
      <c r="A14672" t="str">
        <f>"SIRT6"</f>
        <v>SIRT6</v>
      </c>
      <c r="B14672" t="s">
        <v>8</v>
      </c>
    </row>
    <row r="14673" spans="1:2" x14ac:dyDescent="0.2">
      <c r="A14673" t="str">
        <f>"SIRT7"</f>
        <v>SIRT7</v>
      </c>
      <c r="B14673" t="s">
        <v>6</v>
      </c>
    </row>
    <row r="14674" spans="1:2" x14ac:dyDescent="0.2">
      <c r="A14674" t="str">
        <f>"SIT1"</f>
        <v>SIT1</v>
      </c>
      <c r="B14674" t="s">
        <v>5</v>
      </c>
    </row>
    <row r="14675" spans="1:2" x14ac:dyDescent="0.2">
      <c r="A14675" t="str">
        <f>"SIVA1"</f>
        <v>SIVA1</v>
      </c>
      <c r="B14675" t="s">
        <v>3</v>
      </c>
    </row>
    <row r="14676" spans="1:2" x14ac:dyDescent="0.2">
      <c r="A14676" t="str">
        <f>"SIX1"</f>
        <v>SIX1</v>
      </c>
      <c r="B14676" t="s">
        <v>8</v>
      </c>
    </row>
    <row r="14677" spans="1:2" x14ac:dyDescent="0.2">
      <c r="A14677" t="str">
        <f>"SIX2"</f>
        <v>SIX2</v>
      </c>
      <c r="B14677" t="s">
        <v>8</v>
      </c>
    </row>
    <row r="14678" spans="1:2" x14ac:dyDescent="0.2">
      <c r="A14678" t="str">
        <f>"SIX3"</f>
        <v>SIX3</v>
      </c>
      <c r="B14678" t="s">
        <v>8</v>
      </c>
    </row>
    <row r="14679" spans="1:2" x14ac:dyDescent="0.2">
      <c r="A14679" t="str">
        <f>"SIX4"</f>
        <v>SIX4</v>
      </c>
      <c r="B14679" t="s">
        <v>3</v>
      </c>
    </row>
    <row r="14680" spans="1:2" x14ac:dyDescent="0.2">
      <c r="A14680" t="str">
        <f>"SIX5"</f>
        <v>SIX5</v>
      </c>
      <c r="B14680" t="s">
        <v>8</v>
      </c>
    </row>
    <row r="14681" spans="1:2" x14ac:dyDescent="0.2">
      <c r="A14681" t="str">
        <f>"SIX6"</f>
        <v>SIX6</v>
      </c>
      <c r="B14681" t="s">
        <v>8</v>
      </c>
    </row>
    <row r="14682" spans="1:2" x14ac:dyDescent="0.2">
      <c r="A14682" t="str">
        <f>"SKA1"</f>
        <v>SKA1</v>
      </c>
      <c r="B14682" t="s">
        <v>3</v>
      </c>
    </row>
    <row r="14683" spans="1:2" x14ac:dyDescent="0.2">
      <c r="A14683" t="str">
        <f>"SKA2"</f>
        <v>SKA2</v>
      </c>
      <c r="B14683" t="s">
        <v>3</v>
      </c>
    </row>
    <row r="14684" spans="1:2" x14ac:dyDescent="0.2">
      <c r="A14684" t="str">
        <f>"SKA3"</f>
        <v>SKA3</v>
      </c>
      <c r="B14684" t="s">
        <v>3</v>
      </c>
    </row>
    <row r="14685" spans="1:2" x14ac:dyDescent="0.2">
      <c r="A14685" t="str">
        <f>"SKAP1"</f>
        <v>SKAP1</v>
      </c>
      <c r="B14685" t="s">
        <v>3</v>
      </c>
    </row>
    <row r="14686" spans="1:2" x14ac:dyDescent="0.2">
      <c r="A14686" t="str">
        <f>"SKAP2"</f>
        <v>SKAP2</v>
      </c>
      <c r="B14686" t="s">
        <v>4</v>
      </c>
    </row>
    <row r="14687" spans="1:2" x14ac:dyDescent="0.2">
      <c r="A14687" t="str">
        <f>"SKI"</f>
        <v>SKI</v>
      </c>
      <c r="B14687" t="s">
        <v>8</v>
      </c>
    </row>
    <row r="14688" spans="1:2" x14ac:dyDescent="0.2">
      <c r="A14688" t="str">
        <f>"SKIDA1"</f>
        <v>SKIDA1</v>
      </c>
      <c r="B14688" t="s">
        <v>8</v>
      </c>
    </row>
    <row r="14689" spans="1:2" x14ac:dyDescent="0.2">
      <c r="A14689" t="str">
        <f>"SKIL"</f>
        <v>SKIL</v>
      </c>
      <c r="B14689" t="s">
        <v>2</v>
      </c>
    </row>
    <row r="14690" spans="1:2" x14ac:dyDescent="0.2">
      <c r="A14690" t="str">
        <f>"SKIV2L"</f>
        <v>SKIV2L</v>
      </c>
      <c r="B14690" t="s">
        <v>8</v>
      </c>
    </row>
    <row r="14691" spans="1:2" x14ac:dyDescent="0.2">
      <c r="A14691" t="str">
        <f>"SKIV2L2"</f>
        <v>SKIV2L2</v>
      </c>
      <c r="B14691" t="s">
        <v>8</v>
      </c>
    </row>
    <row r="14692" spans="1:2" x14ac:dyDescent="0.2">
      <c r="A14692" t="str">
        <f>"SKOR1"</f>
        <v>SKOR1</v>
      </c>
      <c r="B14692" t="s">
        <v>8</v>
      </c>
    </row>
    <row r="14693" spans="1:2" x14ac:dyDescent="0.2">
      <c r="A14693" t="str">
        <f>"SKOR2"</f>
        <v>SKOR2</v>
      </c>
      <c r="B14693" t="s">
        <v>8</v>
      </c>
    </row>
    <row r="14694" spans="1:2" x14ac:dyDescent="0.2">
      <c r="A14694" t="str">
        <f>"SKP1"</f>
        <v>SKP1</v>
      </c>
      <c r="B14694" t="s">
        <v>7</v>
      </c>
    </row>
    <row r="14695" spans="1:2" x14ac:dyDescent="0.2">
      <c r="A14695" t="str">
        <f>"SKP2"</f>
        <v>SKP2</v>
      </c>
      <c r="B14695" t="s">
        <v>7</v>
      </c>
    </row>
    <row r="14696" spans="1:2" x14ac:dyDescent="0.2">
      <c r="A14696" t="str">
        <f>"SLA"</f>
        <v>SLA</v>
      </c>
      <c r="B14696" t="s">
        <v>6</v>
      </c>
    </row>
    <row r="14697" spans="1:2" x14ac:dyDescent="0.2">
      <c r="A14697" t="str">
        <f>"SLA2"</f>
        <v>SLA2</v>
      </c>
      <c r="B14697" t="s">
        <v>6</v>
      </c>
    </row>
    <row r="14698" spans="1:2" x14ac:dyDescent="0.2">
      <c r="A14698" t="str">
        <f>"SLAIN1"</f>
        <v>SLAIN1</v>
      </c>
      <c r="B14698" t="s">
        <v>4</v>
      </c>
    </row>
    <row r="14699" spans="1:2" x14ac:dyDescent="0.2">
      <c r="A14699" t="str">
        <f>"SLAIN2"</f>
        <v>SLAIN2</v>
      </c>
      <c r="B14699" t="s">
        <v>4</v>
      </c>
    </row>
    <row r="14700" spans="1:2" x14ac:dyDescent="0.2">
      <c r="A14700" t="str">
        <f>"SLAMF1"</f>
        <v>SLAMF1</v>
      </c>
      <c r="B14700" t="s">
        <v>5</v>
      </c>
    </row>
    <row r="14701" spans="1:2" x14ac:dyDescent="0.2">
      <c r="A14701" t="str">
        <f>"SLAMF6"</f>
        <v>SLAMF6</v>
      </c>
      <c r="B14701" t="s">
        <v>5</v>
      </c>
    </row>
    <row r="14702" spans="1:2" x14ac:dyDescent="0.2">
      <c r="A14702" t="str">
        <f>"SLAMF7"</f>
        <v>SLAMF7</v>
      </c>
      <c r="B14702" t="s">
        <v>5</v>
      </c>
    </row>
    <row r="14703" spans="1:2" x14ac:dyDescent="0.2">
      <c r="A14703" t="str">
        <f>"SLAMF8"</f>
        <v>SLAMF8</v>
      </c>
      <c r="B14703" t="s">
        <v>5</v>
      </c>
    </row>
    <row r="14704" spans="1:2" x14ac:dyDescent="0.2">
      <c r="A14704" t="str">
        <f>"SLAMF9"</f>
        <v>SLAMF9</v>
      </c>
      <c r="B14704" t="s">
        <v>5</v>
      </c>
    </row>
    <row r="14705" spans="1:2" x14ac:dyDescent="0.2">
      <c r="A14705" t="str">
        <f>"SLBP"</f>
        <v>SLBP</v>
      </c>
      <c r="B14705" t="s">
        <v>8</v>
      </c>
    </row>
    <row r="14706" spans="1:2" x14ac:dyDescent="0.2">
      <c r="A14706" t="str">
        <f>"SLC10A1"</f>
        <v>SLC10A1</v>
      </c>
      <c r="B14706" t="s">
        <v>5</v>
      </c>
    </row>
    <row r="14707" spans="1:2" x14ac:dyDescent="0.2">
      <c r="A14707" t="str">
        <f>"SLC10A2"</f>
        <v>SLC10A2</v>
      </c>
      <c r="B14707" t="s">
        <v>2</v>
      </c>
    </row>
    <row r="14708" spans="1:2" x14ac:dyDescent="0.2">
      <c r="A14708" t="str">
        <f>"SLC10A3"</f>
        <v>SLC10A3</v>
      </c>
      <c r="B14708" t="s">
        <v>5</v>
      </c>
    </row>
    <row r="14709" spans="1:2" x14ac:dyDescent="0.2">
      <c r="A14709" t="str">
        <f>"SLC10A4"</f>
        <v>SLC10A4</v>
      </c>
      <c r="B14709" t="s">
        <v>5</v>
      </c>
    </row>
    <row r="14710" spans="1:2" x14ac:dyDescent="0.2">
      <c r="A14710" t="str">
        <f>"SLC10A5"</f>
        <v>SLC10A5</v>
      </c>
      <c r="B14710" t="s">
        <v>2</v>
      </c>
    </row>
    <row r="14711" spans="1:2" x14ac:dyDescent="0.2">
      <c r="A14711" t="str">
        <f>"SLC10A6"</f>
        <v>SLC10A6</v>
      </c>
      <c r="B14711" t="s">
        <v>5</v>
      </c>
    </row>
    <row r="14712" spans="1:2" x14ac:dyDescent="0.2">
      <c r="A14712" t="str">
        <f>"SLC10A7"</f>
        <v>SLC10A7</v>
      </c>
      <c r="B14712" t="s">
        <v>5</v>
      </c>
    </row>
    <row r="14713" spans="1:2" x14ac:dyDescent="0.2">
      <c r="A14713" t="str">
        <f>"SLC11A1"</f>
        <v>SLC11A1</v>
      </c>
      <c r="B14713" t="s">
        <v>2</v>
      </c>
    </row>
    <row r="14714" spans="1:2" x14ac:dyDescent="0.2">
      <c r="A14714" t="str">
        <f>"SLC11A2"</f>
        <v>SLC11A2</v>
      </c>
      <c r="B14714" t="s">
        <v>2</v>
      </c>
    </row>
    <row r="14715" spans="1:2" x14ac:dyDescent="0.2">
      <c r="A14715" t="str">
        <f>"SLC12A1"</f>
        <v>SLC12A1</v>
      </c>
      <c r="B14715" t="s">
        <v>7</v>
      </c>
    </row>
    <row r="14716" spans="1:2" x14ac:dyDescent="0.2">
      <c r="A14716" t="str">
        <f>"SLC12A2"</f>
        <v>SLC12A2</v>
      </c>
      <c r="B14716" t="s">
        <v>7</v>
      </c>
    </row>
    <row r="14717" spans="1:2" x14ac:dyDescent="0.2">
      <c r="A14717" t="str">
        <f>"SLC12A3"</f>
        <v>SLC12A3</v>
      </c>
      <c r="B14717" t="s">
        <v>7</v>
      </c>
    </row>
    <row r="14718" spans="1:2" x14ac:dyDescent="0.2">
      <c r="A14718" t="str">
        <f>"SLC12A4"</f>
        <v>SLC12A4</v>
      </c>
      <c r="B14718" t="s">
        <v>7</v>
      </c>
    </row>
    <row r="14719" spans="1:2" x14ac:dyDescent="0.2">
      <c r="A14719" t="str">
        <f>"SLC12A5"</f>
        <v>SLC12A5</v>
      </c>
      <c r="B14719" t="s">
        <v>7</v>
      </c>
    </row>
    <row r="14720" spans="1:2" x14ac:dyDescent="0.2">
      <c r="A14720" t="str">
        <f>"SLC12A6"</f>
        <v>SLC12A6</v>
      </c>
      <c r="B14720" t="s">
        <v>7</v>
      </c>
    </row>
    <row r="14721" spans="1:2" x14ac:dyDescent="0.2">
      <c r="A14721" t="str">
        <f>"SLC12A7"</f>
        <v>SLC12A7</v>
      </c>
      <c r="B14721" t="s">
        <v>7</v>
      </c>
    </row>
    <row r="14722" spans="1:2" x14ac:dyDescent="0.2">
      <c r="A14722" t="str">
        <f>"SLC12A8"</f>
        <v>SLC12A8</v>
      </c>
      <c r="B14722" t="s">
        <v>5</v>
      </c>
    </row>
    <row r="14723" spans="1:2" x14ac:dyDescent="0.2">
      <c r="A14723" t="str">
        <f>"SLC12A9"</f>
        <v>SLC12A9</v>
      </c>
      <c r="B14723" t="s">
        <v>5</v>
      </c>
    </row>
    <row r="14724" spans="1:2" x14ac:dyDescent="0.2">
      <c r="A14724" t="str">
        <f>"SLC13A1"</f>
        <v>SLC13A1</v>
      </c>
      <c r="B14724" t="s">
        <v>7</v>
      </c>
    </row>
    <row r="14725" spans="1:2" x14ac:dyDescent="0.2">
      <c r="A14725" t="str">
        <f>"SLC13A2"</f>
        <v>SLC13A2</v>
      </c>
      <c r="B14725" t="s">
        <v>7</v>
      </c>
    </row>
    <row r="14726" spans="1:2" x14ac:dyDescent="0.2">
      <c r="A14726" t="str">
        <f>"SLC13A3"</f>
        <v>SLC13A3</v>
      </c>
      <c r="B14726" t="s">
        <v>7</v>
      </c>
    </row>
    <row r="14727" spans="1:2" x14ac:dyDescent="0.2">
      <c r="A14727" t="str">
        <f>"SLC13A4"</f>
        <v>SLC13A4</v>
      </c>
      <c r="B14727" t="s">
        <v>5</v>
      </c>
    </row>
    <row r="14728" spans="1:2" x14ac:dyDescent="0.2">
      <c r="A14728" t="str">
        <f>"SLC13A5"</f>
        <v>SLC13A5</v>
      </c>
      <c r="B14728" t="s">
        <v>2</v>
      </c>
    </row>
    <row r="14729" spans="1:2" x14ac:dyDescent="0.2">
      <c r="A14729" t="str">
        <f>"SLC14A1"</f>
        <v>SLC14A1</v>
      </c>
      <c r="B14729" t="s">
        <v>5</v>
      </c>
    </row>
    <row r="14730" spans="1:2" x14ac:dyDescent="0.2">
      <c r="A14730" t="str">
        <f>"SLC14A2"</f>
        <v>SLC14A2</v>
      </c>
      <c r="B14730" t="s">
        <v>5</v>
      </c>
    </row>
    <row r="14731" spans="1:2" x14ac:dyDescent="0.2">
      <c r="A14731" t="str">
        <f>"SLC15A1"</f>
        <v>SLC15A1</v>
      </c>
      <c r="B14731" t="s">
        <v>5</v>
      </c>
    </row>
    <row r="14732" spans="1:2" x14ac:dyDescent="0.2">
      <c r="A14732" t="str">
        <f>"SLC15A2"</f>
        <v>SLC15A2</v>
      </c>
      <c r="B14732" t="s">
        <v>2</v>
      </c>
    </row>
    <row r="14733" spans="1:2" x14ac:dyDescent="0.2">
      <c r="A14733" t="str">
        <f>"SLC15A3"</f>
        <v>SLC15A3</v>
      </c>
      <c r="B14733" t="s">
        <v>2</v>
      </c>
    </row>
    <row r="14734" spans="1:2" x14ac:dyDescent="0.2">
      <c r="A14734" t="str">
        <f>"SLC15A4"</f>
        <v>SLC15A4</v>
      </c>
      <c r="B14734" t="s">
        <v>5</v>
      </c>
    </row>
    <row r="14735" spans="1:2" x14ac:dyDescent="0.2">
      <c r="A14735" t="str">
        <f>"SLC15A5"</f>
        <v>SLC15A5</v>
      </c>
      <c r="B14735" t="s">
        <v>5</v>
      </c>
    </row>
    <row r="14736" spans="1:2" x14ac:dyDescent="0.2">
      <c r="A14736" t="str">
        <f>"SLC16A1"</f>
        <v>SLC16A1</v>
      </c>
      <c r="B14736" t="s">
        <v>7</v>
      </c>
    </row>
    <row r="14737" spans="1:2" x14ac:dyDescent="0.2">
      <c r="A14737" t="str">
        <f>"SLC16A10"</f>
        <v>SLC16A10</v>
      </c>
      <c r="B14737" t="s">
        <v>5</v>
      </c>
    </row>
    <row r="14738" spans="1:2" x14ac:dyDescent="0.2">
      <c r="A14738" t="str">
        <f>"SLC16A11"</f>
        <v>SLC16A11</v>
      </c>
      <c r="B14738" t="s">
        <v>5</v>
      </c>
    </row>
    <row r="14739" spans="1:2" x14ac:dyDescent="0.2">
      <c r="A14739" t="str">
        <f>"SLC16A12"</f>
        <v>SLC16A12</v>
      </c>
      <c r="B14739" t="s">
        <v>5</v>
      </c>
    </row>
    <row r="14740" spans="1:2" x14ac:dyDescent="0.2">
      <c r="A14740" t="str">
        <f>"SLC16A13"</f>
        <v>SLC16A13</v>
      </c>
      <c r="B14740" t="s">
        <v>5</v>
      </c>
    </row>
    <row r="14741" spans="1:2" x14ac:dyDescent="0.2">
      <c r="A14741" t="str">
        <f>"SLC16A14"</f>
        <v>SLC16A14</v>
      </c>
      <c r="B14741" t="s">
        <v>5</v>
      </c>
    </row>
    <row r="14742" spans="1:2" x14ac:dyDescent="0.2">
      <c r="A14742" t="str">
        <f>"SLC16A2"</f>
        <v>SLC16A2</v>
      </c>
      <c r="B14742" t="s">
        <v>7</v>
      </c>
    </row>
    <row r="14743" spans="1:2" x14ac:dyDescent="0.2">
      <c r="A14743" t="str">
        <f>"SLC16A3"</f>
        <v>SLC16A3</v>
      </c>
      <c r="B14743" t="s">
        <v>7</v>
      </c>
    </row>
    <row r="14744" spans="1:2" x14ac:dyDescent="0.2">
      <c r="A14744" t="str">
        <f>"SLC16A4"</f>
        <v>SLC16A4</v>
      </c>
      <c r="B14744" t="s">
        <v>7</v>
      </c>
    </row>
    <row r="14745" spans="1:2" x14ac:dyDescent="0.2">
      <c r="A14745" t="str">
        <f>"SLC16A5"</f>
        <v>SLC16A5</v>
      </c>
      <c r="B14745" t="s">
        <v>7</v>
      </c>
    </row>
    <row r="14746" spans="1:2" x14ac:dyDescent="0.2">
      <c r="A14746" t="str">
        <f>"SLC16A6"</f>
        <v>SLC16A6</v>
      </c>
      <c r="B14746" t="s">
        <v>7</v>
      </c>
    </row>
    <row r="14747" spans="1:2" x14ac:dyDescent="0.2">
      <c r="A14747" t="str">
        <f>"SLC16A7"</f>
        <v>SLC16A7</v>
      </c>
      <c r="B14747" t="s">
        <v>7</v>
      </c>
    </row>
    <row r="14748" spans="1:2" x14ac:dyDescent="0.2">
      <c r="A14748" t="str">
        <f>"SLC16A8"</f>
        <v>SLC16A8</v>
      </c>
      <c r="B14748" t="s">
        <v>7</v>
      </c>
    </row>
    <row r="14749" spans="1:2" x14ac:dyDescent="0.2">
      <c r="A14749" t="str">
        <f>"SLC16A9"</f>
        <v>SLC16A9</v>
      </c>
      <c r="B14749" t="s">
        <v>5</v>
      </c>
    </row>
    <row r="14750" spans="1:2" x14ac:dyDescent="0.2">
      <c r="A14750" t="str">
        <f>"SLC17A1"</f>
        <v>SLC17A1</v>
      </c>
      <c r="B14750" t="s">
        <v>5</v>
      </c>
    </row>
    <row r="14751" spans="1:2" x14ac:dyDescent="0.2">
      <c r="A14751" t="str">
        <f>"SLC17A2"</f>
        <v>SLC17A2</v>
      </c>
      <c r="B14751" t="s">
        <v>5</v>
      </c>
    </row>
    <row r="14752" spans="1:2" x14ac:dyDescent="0.2">
      <c r="A14752" t="str">
        <f>"SLC17A3"</f>
        <v>SLC17A3</v>
      </c>
      <c r="B14752" t="s">
        <v>2</v>
      </c>
    </row>
    <row r="14753" spans="1:2" x14ac:dyDescent="0.2">
      <c r="A14753" t="str">
        <f>"SLC17A4"</f>
        <v>SLC17A4</v>
      </c>
      <c r="B14753" t="s">
        <v>5</v>
      </c>
    </row>
    <row r="14754" spans="1:2" x14ac:dyDescent="0.2">
      <c r="A14754" t="str">
        <f>"SLC17A5"</f>
        <v>SLC17A5</v>
      </c>
      <c r="B14754" t="s">
        <v>2</v>
      </c>
    </row>
    <row r="14755" spans="1:2" x14ac:dyDescent="0.2">
      <c r="A14755" t="str">
        <f>"SLC17A6"</f>
        <v>SLC17A6</v>
      </c>
      <c r="B14755" t="s">
        <v>6</v>
      </c>
    </row>
    <row r="14756" spans="1:2" x14ac:dyDescent="0.2">
      <c r="A14756" t="str">
        <f>"SLC17A7"</f>
        <v>SLC17A7</v>
      </c>
      <c r="B14756" t="s">
        <v>6</v>
      </c>
    </row>
    <row r="14757" spans="1:2" x14ac:dyDescent="0.2">
      <c r="A14757" t="str">
        <f>"SLC17A8"</f>
        <v>SLC17A8</v>
      </c>
      <c r="B14757" t="s">
        <v>2</v>
      </c>
    </row>
    <row r="14758" spans="1:2" x14ac:dyDescent="0.2">
      <c r="A14758" t="str">
        <f>"SLC17A9"</f>
        <v>SLC17A9</v>
      </c>
      <c r="B14758" t="s">
        <v>5</v>
      </c>
    </row>
    <row r="14759" spans="1:2" x14ac:dyDescent="0.2">
      <c r="A14759" t="str">
        <f>"SLC18A1"</f>
        <v>SLC18A1</v>
      </c>
      <c r="B14759" t="s">
        <v>7</v>
      </c>
    </row>
    <row r="14760" spans="1:2" x14ac:dyDescent="0.2">
      <c r="A14760" t="str">
        <f>"SLC18A2"</f>
        <v>SLC18A2</v>
      </c>
      <c r="B14760" t="s">
        <v>7</v>
      </c>
    </row>
    <row r="14761" spans="1:2" x14ac:dyDescent="0.2">
      <c r="A14761" t="str">
        <f>"SLC18A3"</f>
        <v>SLC18A3</v>
      </c>
      <c r="B14761" t="s">
        <v>5</v>
      </c>
    </row>
    <row r="14762" spans="1:2" x14ac:dyDescent="0.2">
      <c r="A14762" t="str">
        <f>"SLC18B1"</f>
        <v>SLC18B1</v>
      </c>
      <c r="B14762" t="s">
        <v>5</v>
      </c>
    </row>
    <row r="14763" spans="1:2" x14ac:dyDescent="0.2">
      <c r="A14763" t="str">
        <f>"SLC19A1"</f>
        <v>SLC19A1</v>
      </c>
      <c r="B14763" t="s">
        <v>6</v>
      </c>
    </row>
    <row r="14764" spans="1:2" x14ac:dyDescent="0.2">
      <c r="A14764" t="str">
        <f>"SLC19A2"</f>
        <v>SLC19A2</v>
      </c>
      <c r="B14764" t="s">
        <v>7</v>
      </c>
    </row>
    <row r="14765" spans="1:2" x14ac:dyDescent="0.2">
      <c r="A14765" t="str">
        <f>"SLC19A3"</f>
        <v>SLC19A3</v>
      </c>
      <c r="B14765" t="s">
        <v>7</v>
      </c>
    </row>
    <row r="14766" spans="1:2" x14ac:dyDescent="0.2">
      <c r="A14766" t="str">
        <f>"SLC1A1"</f>
        <v>SLC1A1</v>
      </c>
      <c r="B14766" t="s">
        <v>7</v>
      </c>
    </row>
    <row r="14767" spans="1:2" x14ac:dyDescent="0.2">
      <c r="A14767" t="str">
        <f>"SLC1A2"</f>
        <v>SLC1A2</v>
      </c>
      <c r="B14767" t="s">
        <v>7</v>
      </c>
    </row>
    <row r="14768" spans="1:2" x14ac:dyDescent="0.2">
      <c r="A14768" t="str">
        <f>"SLC1A3"</f>
        <v>SLC1A3</v>
      </c>
      <c r="B14768" t="s">
        <v>7</v>
      </c>
    </row>
    <row r="14769" spans="1:2" x14ac:dyDescent="0.2">
      <c r="A14769" t="str">
        <f>"SLC1A4"</f>
        <v>SLC1A4</v>
      </c>
      <c r="B14769" t="s">
        <v>7</v>
      </c>
    </row>
    <row r="14770" spans="1:2" x14ac:dyDescent="0.2">
      <c r="A14770" t="str">
        <f>"SLC1A5"</f>
        <v>SLC1A5</v>
      </c>
      <c r="B14770" t="s">
        <v>7</v>
      </c>
    </row>
    <row r="14771" spans="1:2" x14ac:dyDescent="0.2">
      <c r="A14771" t="str">
        <f>"SLC1A6"</f>
        <v>SLC1A6</v>
      </c>
      <c r="B14771" t="s">
        <v>7</v>
      </c>
    </row>
    <row r="14772" spans="1:2" x14ac:dyDescent="0.2">
      <c r="A14772" t="str">
        <f>"SLC1A7"</f>
        <v>SLC1A7</v>
      </c>
      <c r="B14772" t="s">
        <v>7</v>
      </c>
    </row>
    <row r="14773" spans="1:2" x14ac:dyDescent="0.2">
      <c r="A14773" t="str">
        <f>"SLC20A1"</f>
        <v>SLC20A1</v>
      </c>
      <c r="B14773" t="s">
        <v>2</v>
      </c>
    </row>
    <row r="14774" spans="1:2" x14ac:dyDescent="0.2">
      <c r="A14774" t="str">
        <f>"SLC20A2"</f>
        <v>SLC20A2</v>
      </c>
      <c r="B14774" t="s">
        <v>5</v>
      </c>
    </row>
    <row r="14775" spans="1:2" x14ac:dyDescent="0.2">
      <c r="A14775" t="str">
        <f>"SLC22A1"</f>
        <v>SLC22A1</v>
      </c>
      <c r="B14775" t="s">
        <v>5</v>
      </c>
    </row>
    <row r="14776" spans="1:2" x14ac:dyDescent="0.2">
      <c r="A14776" t="str">
        <f>"SLC22A10"</f>
        <v>SLC22A10</v>
      </c>
      <c r="B14776" t="s">
        <v>5</v>
      </c>
    </row>
    <row r="14777" spans="1:2" x14ac:dyDescent="0.2">
      <c r="A14777" t="str">
        <f>"SLC22A11"</f>
        <v>SLC22A11</v>
      </c>
      <c r="B14777" t="s">
        <v>7</v>
      </c>
    </row>
    <row r="14778" spans="1:2" x14ac:dyDescent="0.2">
      <c r="A14778" t="str">
        <f>"SLC22A12"</f>
        <v>SLC22A12</v>
      </c>
      <c r="B14778" t="s">
        <v>5</v>
      </c>
    </row>
    <row r="14779" spans="1:2" x14ac:dyDescent="0.2">
      <c r="A14779" t="str">
        <f>"SLC22A13"</f>
        <v>SLC22A13</v>
      </c>
      <c r="B14779" t="s">
        <v>5</v>
      </c>
    </row>
    <row r="14780" spans="1:2" x14ac:dyDescent="0.2">
      <c r="A14780" t="str">
        <f>"SLC22A14"</f>
        <v>SLC22A14</v>
      </c>
      <c r="B14780" t="s">
        <v>5</v>
      </c>
    </row>
    <row r="14781" spans="1:2" x14ac:dyDescent="0.2">
      <c r="A14781" t="str">
        <f>"SLC22A15"</f>
        <v>SLC22A15</v>
      </c>
      <c r="B14781" t="s">
        <v>5</v>
      </c>
    </row>
    <row r="14782" spans="1:2" x14ac:dyDescent="0.2">
      <c r="A14782" t="str">
        <f>"SLC22A16"</f>
        <v>SLC22A16</v>
      </c>
      <c r="B14782" t="s">
        <v>5</v>
      </c>
    </row>
    <row r="14783" spans="1:2" x14ac:dyDescent="0.2">
      <c r="A14783" t="str">
        <f>"SLC22A17"</f>
        <v>SLC22A17</v>
      </c>
      <c r="B14783" t="s">
        <v>8</v>
      </c>
    </row>
    <row r="14784" spans="1:2" x14ac:dyDescent="0.2">
      <c r="A14784" t="str">
        <f>"SLC22A18"</f>
        <v>SLC22A18</v>
      </c>
      <c r="B14784" t="s">
        <v>5</v>
      </c>
    </row>
    <row r="14785" spans="1:2" x14ac:dyDescent="0.2">
      <c r="A14785" t="str">
        <f>"SLC22A18AS"</f>
        <v>SLC22A18AS</v>
      </c>
      <c r="B14785" t="s">
        <v>4</v>
      </c>
    </row>
    <row r="14786" spans="1:2" x14ac:dyDescent="0.2">
      <c r="A14786" t="str">
        <f>"SLC22A2"</f>
        <v>SLC22A2</v>
      </c>
      <c r="B14786" t="s">
        <v>5</v>
      </c>
    </row>
    <row r="14787" spans="1:2" x14ac:dyDescent="0.2">
      <c r="A14787" t="str">
        <f>"SLC22A23"</f>
        <v>SLC22A23</v>
      </c>
      <c r="B14787" t="s">
        <v>5</v>
      </c>
    </row>
    <row r="14788" spans="1:2" x14ac:dyDescent="0.2">
      <c r="A14788" t="str">
        <f>"SLC22A24"</f>
        <v>SLC22A24</v>
      </c>
      <c r="B14788" t="s">
        <v>5</v>
      </c>
    </row>
    <row r="14789" spans="1:2" x14ac:dyDescent="0.2">
      <c r="A14789" t="str">
        <f>"SLC22A25"</f>
        <v>SLC22A25</v>
      </c>
      <c r="B14789" t="s">
        <v>5</v>
      </c>
    </row>
    <row r="14790" spans="1:2" x14ac:dyDescent="0.2">
      <c r="A14790" t="str">
        <f>"SLC22A3"</f>
        <v>SLC22A3</v>
      </c>
      <c r="B14790" t="s">
        <v>8</v>
      </c>
    </row>
    <row r="14791" spans="1:2" x14ac:dyDescent="0.2">
      <c r="A14791" t="str">
        <f>"SLC22A31"</f>
        <v>SLC22A31</v>
      </c>
      <c r="B14791" t="s">
        <v>5</v>
      </c>
    </row>
    <row r="14792" spans="1:2" x14ac:dyDescent="0.2">
      <c r="A14792" t="str">
        <f>"SLC22A4"</f>
        <v>SLC22A4</v>
      </c>
      <c r="B14792" t="s">
        <v>7</v>
      </c>
    </row>
    <row r="14793" spans="1:2" x14ac:dyDescent="0.2">
      <c r="A14793" t="str">
        <f>"SLC22A5"</f>
        <v>SLC22A5</v>
      </c>
      <c r="B14793" t="s">
        <v>7</v>
      </c>
    </row>
    <row r="14794" spans="1:2" x14ac:dyDescent="0.2">
      <c r="A14794" t="str">
        <f>"SLC22A6"</f>
        <v>SLC22A6</v>
      </c>
      <c r="B14794" t="s">
        <v>7</v>
      </c>
    </row>
    <row r="14795" spans="1:2" x14ac:dyDescent="0.2">
      <c r="A14795" t="str">
        <f>"SLC22A7"</f>
        <v>SLC22A7</v>
      </c>
      <c r="B14795" t="s">
        <v>5</v>
      </c>
    </row>
    <row r="14796" spans="1:2" x14ac:dyDescent="0.2">
      <c r="A14796" t="str">
        <f>"SLC22A8"</f>
        <v>SLC22A8</v>
      </c>
      <c r="B14796" t="s">
        <v>7</v>
      </c>
    </row>
    <row r="14797" spans="1:2" x14ac:dyDescent="0.2">
      <c r="A14797" t="str">
        <f>"SLC22A9"</f>
        <v>SLC22A9</v>
      </c>
      <c r="B14797" t="s">
        <v>5</v>
      </c>
    </row>
    <row r="14798" spans="1:2" x14ac:dyDescent="0.2">
      <c r="A14798" t="str">
        <f>"SLC23A1"</f>
        <v>SLC23A1</v>
      </c>
      <c r="B14798" t="s">
        <v>7</v>
      </c>
    </row>
    <row r="14799" spans="1:2" x14ac:dyDescent="0.2">
      <c r="A14799" t="str">
        <f>"SLC23A2"</f>
        <v>SLC23A2</v>
      </c>
      <c r="B14799" t="s">
        <v>5</v>
      </c>
    </row>
    <row r="14800" spans="1:2" x14ac:dyDescent="0.2">
      <c r="A14800" t="str">
        <f>"SLC23A3"</f>
        <v>SLC23A3</v>
      </c>
      <c r="B14800" t="s">
        <v>5</v>
      </c>
    </row>
    <row r="14801" spans="1:2" x14ac:dyDescent="0.2">
      <c r="A14801" t="str">
        <f>"SLC24A1"</f>
        <v>SLC24A1</v>
      </c>
      <c r="B14801" t="s">
        <v>5</v>
      </c>
    </row>
    <row r="14802" spans="1:2" x14ac:dyDescent="0.2">
      <c r="A14802" t="str">
        <f>"SLC24A2"</f>
        <v>SLC24A2</v>
      </c>
      <c r="B14802" t="s">
        <v>5</v>
      </c>
    </row>
    <row r="14803" spans="1:2" x14ac:dyDescent="0.2">
      <c r="A14803" t="str">
        <f>"SLC24A3"</f>
        <v>SLC24A3</v>
      </c>
      <c r="B14803" t="s">
        <v>5</v>
      </c>
    </row>
    <row r="14804" spans="1:2" x14ac:dyDescent="0.2">
      <c r="A14804" t="str">
        <f>"SLC24A4"</f>
        <v>SLC24A4</v>
      </c>
      <c r="B14804" t="s">
        <v>5</v>
      </c>
    </row>
    <row r="14805" spans="1:2" x14ac:dyDescent="0.2">
      <c r="A14805" t="str">
        <f>"SLC24A5"</f>
        <v>SLC24A5</v>
      </c>
      <c r="B14805" t="s">
        <v>5</v>
      </c>
    </row>
    <row r="14806" spans="1:2" x14ac:dyDescent="0.2">
      <c r="A14806" t="str">
        <f>"SLC25A1"</f>
        <v>SLC25A1</v>
      </c>
      <c r="B14806" t="s">
        <v>6</v>
      </c>
    </row>
    <row r="14807" spans="1:2" x14ac:dyDescent="0.2">
      <c r="A14807" t="str">
        <f>"SLC25A10"</f>
        <v>SLC25A10</v>
      </c>
      <c r="B14807" t="s">
        <v>7</v>
      </c>
    </row>
    <row r="14808" spans="1:2" x14ac:dyDescent="0.2">
      <c r="A14808" t="str">
        <f>"SLC25A11"</f>
        <v>SLC25A11</v>
      </c>
      <c r="B14808" t="s">
        <v>6</v>
      </c>
    </row>
    <row r="14809" spans="1:2" x14ac:dyDescent="0.2">
      <c r="A14809" t="str">
        <f>"SLC25A12"</f>
        <v>SLC25A12</v>
      </c>
      <c r="B14809" t="s">
        <v>7</v>
      </c>
    </row>
    <row r="14810" spans="1:2" x14ac:dyDescent="0.2">
      <c r="A14810" t="str">
        <f>"SLC25A13"</f>
        <v>SLC25A13</v>
      </c>
      <c r="B14810" t="s">
        <v>7</v>
      </c>
    </row>
    <row r="14811" spans="1:2" x14ac:dyDescent="0.2">
      <c r="A14811" t="str">
        <f>"SLC25A14"</f>
        <v>SLC25A14</v>
      </c>
      <c r="B14811" t="s">
        <v>6</v>
      </c>
    </row>
    <row r="14812" spans="1:2" x14ac:dyDescent="0.2">
      <c r="A14812" t="str">
        <f>"SLC25A15"</f>
        <v>SLC25A15</v>
      </c>
      <c r="B14812" t="s">
        <v>7</v>
      </c>
    </row>
    <row r="14813" spans="1:2" x14ac:dyDescent="0.2">
      <c r="A14813" t="str">
        <f>"SLC25A16"</f>
        <v>SLC25A16</v>
      </c>
      <c r="B14813" t="s">
        <v>6</v>
      </c>
    </row>
    <row r="14814" spans="1:2" x14ac:dyDescent="0.2">
      <c r="A14814" t="str">
        <f>"SLC25A17"</f>
        <v>SLC25A17</v>
      </c>
      <c r="B14814" t="s">
        <v>2</v>
      </c>
    </row>
    <row r="14815" spans="1:2" x14ac:dyDescent="0.2">
      <c r="A14815" t="str">
        <f>"SLC25A18"</f>
        <v>SLC25A18</v>
      </c>
      <c r="B14815" t="s">
        <v>7</v>
      </c>
    </row>
    <row r="14816" spans="1:2" x14ac:dyDescent="0.2">
      <c r="A14816" t="str">
        <f>"SLC25A19"</f>
        <v>SLC25A19</v>
      </c>
      <c r="B14816" t="s">
        <v>6</v>
      </c>
    </row>
    <row r="14817" spans="1:2" x14ac:dyDescent="0.2">
      <c r="A14817" t="str">
        <f>"SLC25A2"</f>
        <v>SLC25A2</v>
      </c>
      <c r="B14817" t="s">
        <v>7</v>
      </c>
    </row>
    <row r="14818" spans="1:2" x14ac:dyDescent="0.2">
      <c r="A14818" t="str">
        <f>"SLC25A20"</f>
        <v>SLC25A20</v>
      </c>
      <c r="B14818" t="s">
        <v>7</v>
      </c>
    </row>
    <row r="14819" spans="1:2" x14ac:dyDescent="0.2">
      <c r="A14819" t="str">
        <f>"SLC25A21"</f>
        <v>SLC25A21</v>
      </c>
      <c r="B14819" t="s">
        <v>2</v>
      </c>
    </row>
    <row r="14820" spans="1:2" x14ac:dyDescent="0.2">
      <c r="A14820" t="str">
        <f>"SLC25A22"</f>
        <v>SLC25A22</v>
      </c>
      <c r="B14820" t="s">
        <v>7</v>
      </c>
    </row>
    <row r="14821" spans="1:2" x14ac:dyDescent="0.2">
      <c r="A14821" t="str">
        <f>"SLC25A23"</f>
        <v>SLC25A23</v>
      </c>
      <c r="B14821" t="s">
        <v>6</v>
      </c>
    </row>
    <row r="14822" spans="1:2" x14ac:dyDescent="0.2">
      <c r="A14822" t="str">
        <f>"SLC25A24"</f>
        <v>SLC25A24</v>
      </c>
      <c r="B14822" t="s">
        <v>6</v>
      </c>
    </row>
    <row r="14823" spans="1:2" x14ac:dyDescent="0.2">
      <c r="A14823" t="str">
        <f>"SLC25A25"</f>
        <v>SLC25A25</v>
      </c>
      <c r="B14823" t="s">
        <v>2</v>
      </c>
    </row>
    <row r="14824" spans="1:2" x14ac:dyDescent="0.2">
      <c r="A14824" t="str">
        <f>"SLC25A26"</f>
        <v>SLC25A26</v>
      </c>
      <c r="B14824" t="s">
        <v>6</v>
      </c>
    </row>
    <row r="14825" spans="1:2" x14ac:dyDescent="0.2">
      <c r="A14825" t="str">
        <f>"SLC25A27"</f>
        <v>SLC25A27</v>
      </c>
      <c r="B14825" t="s">
        <v>6</v>
      </c>
    </row>
    <row r="14826" spans="1:2" x14ac:dyDescent="0.2">
      <c r="A14826" t="str">
        <f>"SLC25A28"</f>
        <v>SLC25A28</v>
      </c>
      <c r="B14826" t="s">
        <v>2</v>
      </c>
    </row>
    <row r="14827" spans="1:2" x14ac:dyDescent="0.2">
      <c r="A14827" t="str">
        <f>"SLC25A29"</f>
        <v>SLC25A29</v>
      </c>
      <c r="B14827" t="s">
        <v>7</v>
      </c>
    </row>
    <row r="14828" spans="1:2" x14ac:dyDescent="0.2">
      <c r="A14828" t="str">
        <f>"SLC25A3"</f>
        <v>SLC25A3</v>
      </c>
      <c r="B14828" t="s">
        <v>6</v>
      </c>
    </row>
    <row r="14829" spans="1:2" x14ac:dyDescent="0.2">
      <c r="A14829" t="str">
        <f>"SLC25A30"</f>
        <v>SLC25A30</v>
      </c>
      <c r="B14829" t="s">
        <v>6</v>
      </c>
    </row>
    <row r="14830" spans="1:2" x14ac:dyDescent="0.2">
      <c r="A14830" t="str">
        <f>"SLC25A31"</f>
        <v>SLC25A31</v>
      </c>
      <c r="B14830" t="s">
        <v>6</v>
      </c>
    </row>
    <row r="14831" spans="1:2" x14ac:dyDescent="0.2">
      <c r="A14831" t="str">
        <f>"SLC25A32"</f>
        <v>SLC25A32</v>
      </c>
      <c r="B14831" t="s">
        <v>6</v>
      </c>
    </row>
    <row r="14832" spans="1:2" x14ac:dyDescent="0.2">
      <c r="A14832" t="str">
        <f>"SLC25A33"</f>
        <v>SLC25A33</v>
      </c>
      <c r="B14832" t="s">
        <v>2</v>
      </c>
    </row>
    <row r="14833" spans="1:2" x14ac:dyDescent="0.2">
      <c r="A14833" t="str">
        <f>"SLC25A34"</f>
        <v>SLC25A34</v>
      </c>
      <c r="B14833" t="s">
        <v>6</v>
      </c>
    </row>
    <row r="14834" spans="1:2" x14ac:dyDescent="0.2">
      <c r="A14834" t="str">
        <f>"SLC25A35"</f>
        <v>SLC25A35</v>
      </c>
      <c r="B14834" t="s">
        <v>6</v>
      </c>
    </row>
    <row r="14835" spans="1:2" x14ac:dyDescent="0.2">
      <c r="A14835" t="str">
        <f>"SLC25A36"</f>
        <v>SLC25A36</v>
      </c>
      <c r="B14835" t="s">
        <v>6</v>
      </c>
    </row>
    <row r="14836" spans="1:2" x14ac:dyDescent="0.2">
      <c r="A14836" t="str">
        <f>"SLC25A37"</f>
        <v>SLC25A37</v>
      </c>
      <c r="B14836" t="s">
        <v>6</v>
      </c>
    </row>
    <row r="14837" spans="1:2" x14ac:dyDescent="0.2">
      <c r="A14837" t="str">
        <f>"SLC25A38"</f>
        <v>SLC25A38</v>
      </c>
      <c r="B14837" t="s">
        <v>6</v>
      </c>
    </row>
    <row r="14838" spans="1:2" x14ac:dyDescent="0.2">
      <c r="A14838" t="str">
        <f>"SLC25A39"</f>
        <v>SLC25A39</v>
      </c>
      <c r="B14838" t="s">
        <v>6</v>
      </c>
    </row>
    <row r="14839" spans="1:2" x14ac:dyDescent="0.2">
      <c r="A14839" t="str">
        <f>"SLC25A4"</f>
        <v>SLC25A4</v>
      </c>
      <c r="B14839" t="s">
        <v>7</v>
      </c>
    </row>
    <row r="14840" spans="1:2" x14ac:dyDescent="0.2">
      <c r="A14840" t="str">
        <f>"SLC25A40"</f>
        <v>SLC25A40</v>
      </c>
      <c r="B14840" t="s">
        <v>2</v>
      </c>
    </row>
    <row r="14841" spans="1:2" x14ac:dyDescent="0.2">
      <c r="A14841" t="str">
        <f>"SLC25A41"</f>
        <v>SLC25A41</v>
      </c>
      <c r="B14841" t="s">
        <v>6</v>
      </c>
    </row>
    <row r="14842" spans="1:2" x14ac:dyDescent="0.2">
      <c r="A14842" t="str">
        <f>"SLC25A42"</f>
        <v>SLC25A42</v>
      </c>
      <c r="B14842" t="s">
        <v>6</v>
      </c>
    </row>
    <row r="14843" spans="1:2" x14ac:dyDescent="0.2">
      <c r="A14843" t="str">
        <f>"SLC25A43"</f>
        <v>SLC25A43</v>
      </c>
      <c r="B14843" t="s">
        <v>6</v>
      </c>
    </row>
    <row r="14844" spans="1:2" x14ac:dyDescent="0.2">
      <c r="A14844" t="str">
        <f>"SLC25A44"</f>
        <v>SLC25A44</v>
      </c>
      <c r="B14844" t="s">
        <v>6</v>
      </c>
    </row>
    <row r="14845" spans="1:2" x14ac:dyDescent="0.2">
      <c r="A14845" t="str">
        <f>"SLC25A45"</f>
        <v>SLC25A45</v>
      </c>
      <c r="B14845" t="s">
        <v>6</v>
      </c>
    </row>
    <row r="14846" spans="1:2" x14ac:dyDescent="0.2">
      <c r="A14846" t="str">
        <f>"SLC25A46"</f>
        <v>SLC25A46</v>
      </c>
      <c r="B14846" t="s">
        <v>6</v>
      </c>
    </row>
    <row r="14847" spans="1:2" x14ac:dyDescent="0.2">
      <c r="A14847" t="str">
        <f>"SLC25A47"</f>
        <v>SLC25A47</v>
      </c>
      <c r="B14847" t="s">
        <v>6</v>
      </c>
    </row>
    <row r="14848" spans="1:2" x14ac:dyDescent="0.2">
      <c r="A14848" t="str">
        <f>"SLC25A48"</f>
        <v>SLC25A48</v>
      </c>
      <c r="B14848" t="s">
        <v>6</v>
      </c>
    </row>
    <row r="14849" spans="1:2" x14ac:dyDescent="0.2">
      <c r="A14849" t="str">
        <f>"SLC25A5"</f>
        <v>SLC25A5</v>
      </c>
      <c r="B14849" t="s">
        <v>7</v>
      </c>
    </row>
    <row r="14850" spans="1:2" x14ac:dyDescent="0.2">
      <c r="A14850" t="str">
        <f>"SLC25A51"</f>
        <v>SLC25A51</v>
      </c>
      <c r="B14850" t="s">
        <v>6</v>
      </c>
    </row>
    <row r="14851" spans="1:2" x14ac:dyDescent="0.2">
      <c r="A14851" t="str">
        <f>"SLC25A52"</f>
        <v>SLC25A52</v>
      </c>
      <c r="B14851" t="s">
        <v>6</v>
      </c>
    </row>
    <row r="14852" spans="1:2" x14ac:dyDescent="0.2">
      <c r="A14852" t="str">
        <f>"SLC25A53"</f>
        <v>SLC25A53</v>
      </c>
      <c r="B14852" t="s">
        <v>6</v>
      </c>
    </row>
    <row r="14853" spans="1:2" x14ac:dyDescent="0.2">
      <c r="A14853" t="str">
        <f>"SLC25A6"</f>
        <v>SLC25A6</v>
      </c>
      <c r="B14853" t="s">
        <v>7</v>
      </c>
    </row>
    <row r="14854" spans="1:2" x14ac:dyDescent="0.2">
      <c r="A14854" t="str">
        <f>"SLC26A1"</f>
        <v>SLC26A1</v>
      </c>
      <c r="B14854" t="s">
        <v>4</v>
      </c>
    </row>
    <row r="14855" spans="1:2" x14ac:dyDescent="0.2">
      <c r="A14855" t="str">
        <f>"SLC26A10"</f>
        <v>SLC26A10</v>
      </c>
      <c r="B14855" t="s">
        <v>8</v>
      </c>
    </row>
    <row r="14856" spans="1:2" x14ac:dyDescent="0.2">
      <c r="A14856" t="str">
        <f>"SLC26A11"</f>
        <v>SLC26A11</v>
      </c>
      <c r="B14856" t="s">
        <v>5</v>
      </c>
    </row>
    <row r="14857" spans="1:2" x14ac:dyDescent="0.2">
      <c r="A14857" t="str">
        <f>"SLC26A2"</f>
        <v>SLC26A2</v>
      </c>
      <c r="B14857" t="s">
        <v>5</v>
      </c>
    </row>
    <row r="14858" spans="1:2" x14ac:dyDescent="0.2">
      <c r="A14858" t="str">
        <f>"SLC26A3"</f>
        <v>SLC26A3</v>
      </c>
      <c r="B14858" t="s">
        <v>8</v>
      </c>
    </row>
    <row r="14859" spans="1:2" x14ac:dyDescent="0.2">
      <c r="A14859" t="str">
        <f>"SLC26A4"</f>
        <v>SLC26A4</v>
      </c>
      <c r="B14859" t="s">
        <v>5</v>
      </c>
    </row>
    <row r="14860" spans="1:2" x14ac:dyDescent="0.2">
      <c r="A14860" t="str">
        <f>"SLC26A5"</f>
        <v>SLC26A5</v>
      </c>
      <c r="B14860" t="s">
        <v>6</v>
      </c>
    </row>
    <row r="14861" spans="1:2" x14ac:dyDescent="0.2">
      <c r="A14861" t="str">
        <f>"SLC26A6"</f>
        <v>SLC26A6</v>
      </c>
      <c r="B14861" t="s">
        <v>5</v>
      </c>
    </row>
    <row r="14862" spans="1:2" x14ac:dyDescent="0.2">
      <c r="A14862" t="str">
        <f>"SLC26A7"</f>
        <v>SLC26A7</v>
      </c>
      <c r="B14862" t="s">
        <v>5</v>
      </c>
    </row>
    <row r="14863" spans="1:2" x14ac:dyDescent="0.2">
      <c r="A14863" t="str">
        <f>"SLC26A8"</f>
        <v>SLC26A8</v>
      </c>
      <c r="B14863" t="s">
        <v>5</v>
      </c>
    </row>
    <row r="14864" spans="1:2" x14ac:dyDescent="0.2">
      <c r="A14864" t="str">
        <f>"SLC26A9"</f>
        <v>SLC26A9</v>
      </c>
      <c r="B14864" t="s">
        <v>5</v>
      </c>
    </row>
    <row r="14865" spans="1:2" x14ac:dyDescent="0.2">
      <c r="A14865" t="str">
        <f>"SLC27A1"</f>
        <v>SLC27A1</v>
      </c>
      <c r="B14865" t="s">
        <v>6</v>
      </c>
    </row>
    <row r="14866" spans="1:2" x14ac:dyDescent="0.2">
      <c r="A14866" t="str">
        <f>"SLC27A2"</f>
        <v>SLC27A2</v>
      </c>
      <c r="B14866" t="s">
        <v>6</v>
      </c>
    </row>
    <row r="14867" spans="1:2" x14ac:dyDescent="0.2">
      <c r="A14867" t="str">
        <f>"SLC27A3"</f>
        <v>SLC27A3</v>
      </c>
      <c r="B14867" t="s">
        <v>6</v>
      </c>
    </row>
    <row r="14868" spans="1:2" x14ac:dyDescent="0.2">
      <c r="A14868" t="str">
        <f>"SLC27A4"</f>
        <v>SLC27A4</v>
      </c>
      <c r="B14868" t="s">
        <v>6</v>
      </c>
    </row>
    <row r="14869" spans="1:2" x14ac:dyDescent="0.2">
      <c r="A14869" t="str">
        <f>"SLC27A5"</f>
        <v>SLC27A5</v>
      </c>
      <c r="B14869" t="s">
        <v>3</v>
      </c>
    </row>
    <row r="14870" spans="1:2" x14ac:dyDescent="0.2">
      <c r="A14870" t="str">
        <f>"SLC27A6"</f>
        <v>SLC27A6</v>
      </c>
      <c r="B14870" t="s">
        <v>6</v>
      </c>
    </row>
    <row r="14871" spans="1:2" x14ac:dyDescent="0.2">
      <c r="A14871" t="str">
        <f>"SLC28A1"</f>
        <v>SLC28A1</v>
      </c>
      <c r="B14871" t="s">
        <v>5</v>
      </c>
    </row>
    <row r="14872" spans="1:2" x14ac:dyDescent="0.2">
      <c r="A14872" t="str">
        <f>"SLC28A2"</f>
        <v>SLC28A2</v>
      </c>
      <c r="B14872" t="s">
        <v>5</v>
      </c>
    </row>
    <row r="14873" spans="1:2" x14ac:dyDescent="0.2">
      <c r="A14873" t="str">
        <f>"SLC28A3"</f>
        <v>SLC28A3</v>
      </c>
      <c r="B14873" t="s">
        <v>5</v>
      </c>
    </row>
    <row r="14874" spans="1:2" x14ac:dyDescent="0.2">
      <c r="A14874" t="str">
        <f>"SLC29A1"</f>
        <v>SLC29A1</v>
      </c>
      <c r="B14874" t="s">
        <v>7</v>
      </c>
    </row>
    <row r="14875" spans="1:2" x14ac:dyDescent="0.2">
      <c r="A14875" t="str">
        <f>"SLC29A2"</f>
        <v>SLC29A2</v>
      </c>
      <c r="B14875" t="s">
        <v>8</v>
      </c>
    </row>
    <row r="14876" spans="1:2" x14ac:dyDescent="0.2">
      <c r="A14876" t="str">
        <f>"SLC29A3"</f>
        <v>SLC29A3</v>
      </c>
      <c r="B14876" t="s">
        <v>8</v>
      </c>
    </row>
    <row r="14877" spans="1:2" x14ac:dyDescent="0.2">
      <c r="A14877" t="str">
        <f>"SLC29A4"</f>
        <v>SLC29A4</v>
      </c>
      <c r="B14877" t="s">
        <v>5</v>
      </c>
    </row>
    <row r="14878" spans="1:2" x14ac:dyDescent="0.2">
      <c r="A14878" t="str">
        <f>"SLC2A1"</f>
        <v>SLC2A1</v>
      </c>
      <c r="B14878" t="s">
        <v>4</v>
      </c>
    </row>
    <row r="14879" spans="1:2" x14ac:dyDescent="0.2">
      <c r="A14879" t="str">
        <f>"SLC2A10"</f>
        <v>SLC2A10</v>
      </c>
      <c r="B14879" t="s">
        <v>5</v>
      </c>
    </row>
    <row r="14880" spans="1:2" x14ac:dyDescent="0.2">
      <c r="A14880" t="str">
        <f>"SLC2A11"</f>
        <v>SLC2A11</v>
      </c>
      <c r="B14880" t="s">
        <v>5</v>
      </c>
    </row>
    <row r="14881" spans="1:2" x14ac:dyDescent="0.2">
      <c r="A14881" t="str">
        <f>"SLC2A12"</f>
        <v>SLC2A12</v>
      </c>
      <c r="B14881" t="s">
        <v>5</v>
      </c>
    </row>
    <row r="14882" spans="1:2" x14ac:dyDescent="0.2">
      <c r="A14882" t="str">
        <f>"SLC2A13"</f>
        <v>SLC2A13</v>
      </c>
      <c r="B14882" t="s">
        <v>2</v>
      </c>
    </row>
    <row r="14883" spans="1:2" x14ac:dyDescent="0.2">
      <c r="A14883" t="str">
        <f>"SLC2A14"</f>
        <v>SLC2A14</v>
      </c>
      <c r="B14883" t="s">
        <v>5</v>
      </c>
    </row>
    <row r="14884" spans="1:2" x14ac:dyDescent="0.2">
      <c r="A14884" t="str">
        <f>"SLC2A2"</f>
        <v>SLC2A2</v>
      </c>
      <c r="B14884" t="s">
        <v>7</v>
      </c>
    </row>
    <row r="14885" spans="1:2" x14ac:dyDescent="0.2">
      <c r="A14885" t="str">
        <f>"SLC2A3"</f>
        <v>SLC2A3</v>
      </c>
      <c r="B14885" t="s">
        <v>3</v>
      </c>
    </row>
    <row r="14886" spans="1:2" x14ac:dyDescent="0.2">
      <c r="A14886" t="str">
        <f>"SLC2A4"</f>
        <v>SLC2A4</v>
      </c>
      <c r="B14886" t="s">
        <v>6</v>
      </c>
    </row>
    <row r="14887" spans="1:2" x14ac:dyDescent="0.2">
      <c r="A14887" t="str">
        <f>"SLC2A4RG"</f>
        <v>SLC2A4RG</v>
      </c>
      <c r="B14887" t="s">
        <v>8</v>
      </c>
    </row>
    <row r="14888" spans="1:2" x14ac:dyDescent="0.2">
      <c r="A14888" t="str">
        <f>"SLC2A5"</f>
        <v>SLC2A5</v>
      </c>
      <c r="B14888" t="s">
        <v>5</v>
      </c>
    </row>
    <row r="14889" spans="1:2" x14ac:dyDescent="0.2">
      <c r="A14889" t="str">
        <f>"SLC2A6"</f>
        <v>SLC2A6</v>
      </c>
      <c r="B14889" t="s">
        <v>2</v>
      </c>
    </row>
    <row r="14890" spans="1:2" x14ac:dyDescent="0.2">
      <c r="A14890" t="str">
        <f>"SLC2A7"</f>
        <v>SLC2A7</v>
      </c>
      <c r="B14890" t="s">
        <v>5</v>
      </c>
    </row>
    <row r="14891" spans="1:2" x14ac:dyDescent="0.2">
      <c r="A14891" t="str">
        <f>"SLC2A8"</f>
        <v>SLC2A8</v>
      </c>
      <c r="B14891" t="s">
        <v>2</v>
      </c>
    </row>
    <row r="14892" spans="1:2" x14ac:dyDescent="0.2">
      <c r="A14892" t="str">
        <f>"SLC2A9"</f>
        <v>SLC2A9</v>
      </c>
      <c r="B14892" t="s">
        <v>2</v>
      </c>
    </row>
    <row r="14893" spans="1:2" x14ac:dyDescent="0.2">
      <c r="A14893" t="str">
        <f>"SLC30A1"</f>
        <v>SLC30A1</v>
      </c>
      <c r="B14893" t="s">
        <v>2</v>
      </c>
    </row>
    <row r="14894" spans="1:2" x14ac:dyDescent="0.2">
      <c r="A14894" t="str">
        <f>"SLC30A10"</f>
        <v>SLC30A10</v>
      </c>
      <c r="B14894" t="s">
        <v>5</v>
      </c>
    </row>
    <row r="14895" spans="1:2" x14ac:dyDescent="0.2">
      <c r="A14895" t="str">
        <f>"SLC30A2"</f>
        <v>SLC30A2</v>
      </c>
      <c r="B14895" t="s">
        <v>2</v>
      </c>
    </row>
    <row r="14896" spans="1:2" x14ac:dyDescent="0.2">
      <c r="A14896" t="str">
        <f>"SLC30A3"</f>
        <v>SLC30A3</v>
      </c>
      <c r="B14896" t="s">
        <v>6</v>
      </c>
    </row>
    <row r="14897" spans="1:2" x14ac:dyDescent="0.2">
      <c r="A14897" t="str">
        <f>"SLC30A4"</f>
        <v>SLC30A4</v>
      </c>
      <c r="B14897" t="s">
        <v>2</v>
      </c>
    </row>
    <row r="14898" spans="1:2" x14ac:dyDescent="0.2">
      <c r="A14898" t="str">
        <f>"SLC30A5"</f>
        <v>SLC30A5</v>
      </c>
      <c r="B14898" t="s">
        <v>2</v>
      </c>
    </row>
    <row r="14899" spans="1:2" x14ac:dyDescent="0.2">
      <c r="A14899" t="str">
        <f>"SLC30A6"</f>
        <v>SLC30A6</v>
      </c>
      <c r="B14899" t="s">
        <v>6</v>
      </c>
    </row>
    <row r="14900" spans="1:2" x14ac:dyDescent="0.2">
      <c r="A14900" t="str">
        <f>"SLC30A7"</f>
        <v>SLC30A7</v>
      </c>
      <c r="B14900" t="s">
        <v>2</v>
      </c>
    </row>
    <row r="14901" spans="1:2" x14ac:dyDescent="0.2">
      <c r="A14901" t="str">
        <f>"SLC30A8"</f>
        <v>SLC30A8</v>
      </c>
      <c r="B14901" t="s">
        <v>2</v>
      </c>
    </row>
    <row r="14902" spans="1:2" x14ac:dyDescent="0.2">
      <c r="A14902" t="str">
        <f>"SLC30A9"</f>
        <v>SLC30A9</v>
      </c>
      <c r="B14902" t="s">
        <v>6</v>
      </c>
    </row>
    <row r="14903" spans="1:2" x14ac:dyDescent="0.2">
      <c r="A14903" t="str">
        <f>"SLC31A1"</f>
        <v>SLC31A1</v>
      </c>
      <c r="B14903" t="s">
        <v>5</v>
      </c>
    </row>
    <row r="14904" spans="1:2" x14ac:dyDescent="0.2">
      <c r="A14904" t="str">
        <f>"SLC31A2"</f>
        <v>SLC31A2</v>
      </c>
      <c r="B14904" t="s">
        <v>5</v>
      </c>
    </row>
    <row r="14905" spans="1:2" x14ac:dyDescent="0.2">
      <c r="A14905" t="str">
        <f>"SLC32A1"</f>
        <v>SLC32A1</v>
      </c>
      <c r="B14905" t="s">
        <v>7</v>
      </c>
    </row>
    <row r="14906" spans="1:2" x14ac:dyDescent="0.2">
      <c r="A14906" t="str">
        <f>"SLC33A1"</f>
        <v>SLC33A1</v>
      </c>
      <c r="B14906" t="s">
        <v>2</v>
      </c>
    </row>
    <row r="14907" spans="1:2" x14ac:dyDescent="0.2">
      <c r="A14907" t="str">
        <f>"SLC34A1"</f>
        <v>SLC34A1</v>
      </c>
      <c r="B14907" t="s">
        <v>5</v>
      </c>
    </row>
    <row r="14908" spans="1:2" x14ac:dyDescent="0.2">
      <c r="A14908" t="str">
        <f>"SLC34A2"</f>
        <v>SLC34A2</v>
      </c>
      <c r="B14908" t="s">
        <v>3</v>
      </c>
    </row>
    <row r="14909" spans="1:2" x14ac:dyDescent="0.2">
      <c r="A14909" t="str">
        <f>"SLC34A3"</f>
        <v>SLC34A3</v>
      </c>
      <c r="B14909" t="s">
        <v>5</v>
      </c>
    </row>
    <row r="14910" spans="1:2" x14ac:dyDescent="0.2">
      <c r="A14910" t="str">
        <f>"SLC35A1"</f>
        <v>SLC35A1</v>
      </c>
      <c r="B14910" t="s">
        <v>2</v>
      </c>
    </row>
    <row r="14911" spans="1:2" x14ac:dyDescent="0.2">
      <c r="A14911" t="str">
        <f>"SLC35A2"</f>
        <v>SLC35A2</v>
      </c>
      <c r="B14911" t="s">
        <v>5</v>
      </c>
    </row>
    <row r="14912" spans="1:2" x14ac:dyDescent="0.2">
      <c r="A14912" t="str">
        <f>"SLC35A3"</f>
        <v>SLC35A3</v>
      </c>
      <c r="B14912" t="s">
        <v>2</v>
      </c>
    </row>
    <row r="14913" spans="1:2" x14ac:dyDescent="0.2">
      <c r="A14913" t="str">
        <f>"SLC35A4"</f>
        <v>SLC35A4</v>
      </c>
      <c r="B14913" t="s">
        <v>2</v>
      </c>
    </row>
    <row r="14914" spans="1:2" x14ac:dyDescent="0.2">
      <c r="A14914" t="str">
        <f>"SLC35A5"</f>
        <v>SLC35A5</v>
      </c>
      <c r="B14914" t="s">
        <v>5</v>
      </c>
    </row>
    <row r="14915" spans="1:2" x14ac:dyDescent="0.2">
      <c r="A14915" t="str">
        <f>"SLC35B1"</f>
        <v>SLC35B1</v>
      </c>
      <c r="B14915" t="s">
        <v>6</v>
      </c>
    </row>
    <row r="14916" spans="1:2" x14ac:dyDescent="0.2">
      <c r="A14916" t="str">
        <f>"SLC35B2"</f>
        <v>SLC35B2</v>
      </c>
      <c r="B14916" t="s">
        <v>4</v>
      </c>
    </row>
    <row r="14917" spans="1:2" x14ac:dyDescent="0.2">
      <c r="A14917" t="str">
        <f>"SLC35B3"</f>
        <v>SLC35B3</v>
      </c>
      <c r="B14917" t="s">
        <v>6</v>
      </c>
    </row>
    <row r="14918" spans="1:2" x14ac:dyDescent="0.2">
      <c r="A14918" t="str">
        <f>"SLC35B4"</f>
        <v>SLC35B4</v>
      </c>
      <c r="B14918" t="s">
        <v>6</v>
      </c>
    </row>
    <row r="14919" spans="1:2" x14ac:dyDescent="0.2">
      <c r="A14919" t="str">
        <f>"SLC35C1"</f>
        <v>SLC35C1</v>
      </c>
      <c r="B14919" t="s">
        <v>6</v>
      </c>
    </row>
    <row r="14920" spans="1:2" x14ac:dyDescent="0.2">
      <c r="A14920" t="str">
        <f>"SLC35C2"</f>
        <v>SLC35C2</v>
      </c>
      <c r="B14920" t="s">
        <v>6</v>
      </c>
    </row>
    <row r="14921" spans="1:2" x14ac:dyDescent="0.2">
      <c r="A14921" t="str">
        <f>"SLC35D1"</f>
        <v>SLC35D1</v>
      </c>
      <c r="B14921" t="s">
        <v>2</v>
      </c>
    </row>
    <row r="14922" spans="1:2" x14ac:dyDescent="0.2">
      <c r="A14922" t="str">
        <f>"SLC35D2"</f>
        <v>SLC35D2</v>
      </c>
      <c r="B14922" t="s">
        <v>5</v>
      </c>
    </row>
    <row r="14923" spans="1:2" x14ac:dyDescent="0.2">
      <c r="A14923" t="str">
        <f>"SLC35D3"</f>
        <v>SLC35D3</v>
      </c>
      <c r="B14923" t="s">
        <v>5</v>
      </c>
    </row>
    <row r="14924" spans="1:2" x14ac:dyDescent="0.2">
      <c r="A14924" t="str">
        <f>"SLC35E1"</f>
        <v>SLC35E1</v>
      </c>
      <c r="B14924" t="s">
        <v>6</v>
      </c>
    </row>
    <row r="14925" spans="1:2" x14ac:dyDescent="0.2">
      <c r="A14925" t="str">
        <f>"SLC35E2"</f>
        <v>SLC35E2</v>
      </c>
      <c r="B14925" t="s">
        <v>4</v>
      </c>
    </row>
    <row r="14926" spans="1:2" x14ac:dyDescent="0.2">
      <c r="A14926" t="str">
        <f>"SLC35E2B"</f>
        <v>SLC35E2B</v>
      </c>
      <c r="B14926" t="s">
        <v>4</v>
      </c>
    </row>
    <row r="14927" spans="1:2" x14ac:dyDescent="0.2">
      <c r="A14927" t="str">
        <f>"SLC35E3"</f>
        <v>SLC35E3</v>
      </c>
      <c r="B14927" t="s">
        <v>3</v>
      </c>
    </row>
    <row r="14928" spans="1:2" x14ac:dyDescent="0.2">
      <c r="A14928" t="str">
        <f>"SLC35E4"</f>
        <v>SLC35E4</v>
      </c>
      <c r="B14928" t="s">
        <v>5</v>
      </c>
    </row>
    <row r="14929" spans="1:2" x14ac:dyDescent="0.2">
      <c r="A14929" t="str">
        <f>"SLC35F1"</f>
        <v>SLC35F1</v>
      </c>
      <c r="B14929" t="s">
        <v>5</v>
      </c>
    </row>
    <row r="14930" spans="1:2" x14ac:dyDescent="0.2">
      <c r="A14930" t="str">
        <f>"SLC35F2"</f>
        <v>SLC35F2</v>
      </c>
      <c r="B14930" t="s">
        <v>5</v>
      </c>
    </row>
    <row r="14931" spans="1:2" x14ac:dyDescent="0.2">
      <c r="A14931" t="str">
        <f>"SLC35F3"</f>
        <v>SLC35F3</v>
      </c>
      <c r="B14931" t="s">
        <v>5</v>
      </c>
    </row>
    <row r="14932" spans="1:2" x14ac:dyDescent="0.2">
      <c r="A14932" t="str">
        <f>"SLC35F4"</f>
        <v>SLC35F4</v>
      </c>
      <c r="B14932" t="s">
        <v>4</v>
      </c>
    </row>
    <row r="14933" spans="1:2" x14ac:dyDescent="0.2">
      <c r="A14933" t="str">
        <f>"SLC35F5"</f>
        <v>SLC35F5</v>
      </c>
      <c r="B14933" t="s">
        <v>6</v>
      </c>
    </row>
    <row r="14934" spans="1:2" x14ac:dyDescent="0.2">
      <c r="A14934" t="str">
        <f>"SLC35F6"</f>
        <v>SLC35F6</v>
      </c>
      <c r="B14934" t="s">
        <v>2</v>
      </c>
    </row>
    <row r="14935" spans="1:2" x14ac:dyDescent="0.2">
      <c r="A14935" t="str">
        <f>"SLC35G1"</f>
        <v>SLC35G1</v>
      </c>
      <c r="B14935" t="s">
        <v>5</v>
      </c>
    </row>
    <row r="14936" spans="1:2" x14ac:dyDescent="0.2">
      <c r="A14936" t="str">
        <f>"SLC35G2"</f>
        <v>SLC35G2</v>
      </c>
      <c r="B14936" t="s">
        <v>5</v>
      </c>
    </row>
    <row r="14937" spans="1:2" x14ac:dyDescent="0.2">
      <c r="A14937" t="str">
        <f>"SLC35G3"</f>
        <v>SLC35G3</v>
      </c>
      <c r="B14937" t="s">
        <v>5</v>
      </c>
    </row>
    <row r="14938" spans="1:2" x14ac:dyDescent="0.2">
      <c r="A14938" t="str">
        <f>"SLC35G4"</f>
        <v>SLC35G4</v>
      </c>
      <c r="B14938" t="s">
        <v>5</v>
      </c>
    </row>
    <row r="14939" spans="1:2" x14ac:dyDescent="0.2">
      <c r="A14939" t="str">
        <f>"SLC35G5"</f>
        <v>SLC35G5</v>
      </c>
      <c r="B14939" t="s">
        <v>5</v>
      </c>
    </row>
    <row r="14940" spans="1:2" x14ac:dyDescent="0.2">
      <c r="A14940" t="str">
        <f>"SLC35G6"</f>
        <v>SLC35G6</v>
      </c>
      <c r="B14940" t="s">
        <v>5</v>
      </c>
    </row>
    <row r="14941" spans="1:2" x14ac:dyDescent="0.2">
      <c r="A14941" t="str">
        <f>"SLC36A1"</f>
        <v>SLC36A1</v>
      </c>
      <c r="B14941" t="s">
        <v>7</v>
      </c>
    </row>
    <row r="14942" spans="1:2" x14ac:dyDescent="0.2">
      <c r="A14942" t="str">
        <f>"SLC36A2"</f>
        <v>SLC36A2</v>
      </c>
      <c r="B14942" t="s">
        <v>5</v>
      </c>
    </row>
    <row r="14943" spans="1:2" x14ac:dyDescent="0.2">
      <c r="A14943" t="str">
        <f>"SLC36A3"</f>
        <v>SLC36A3</v>
      </c>
      <c r="B14943" t="s">
        <v>5</v>
      </c>
    </row>
    <row r="14944" spans="1:2" x14ac:dyDescent="0.2">
      <c r="A14944" t="str">
        <f>"SLC36A4"</f>
        <v>SLC36A4</v>
      </c>
      <c r="B14944" t="s">
        <v>2</v>
      </c>
    </row>
    <row r="14945" spans="1:2" x14ac:dyDescent="0.2">
      <c r="A14945" t="str">
        <f>"SLC37A1"</f>
        <v>SLC37A1</v>
      </c>
      <c r="B14945" t="s">
        <v>5</v>
      </c>
    </row>
    <row r="14946" spans="1:2" x14ac:dyDescent="0.2">
      <c r="A14946" t="str">
        <f>"SLC37A2"</f>
        <v>SLC37A2</v>
      </c>
      <c r="B14946" t="s">
        <v>5</v>
      </c>
    </row>
    <row r="14947" spans="1:2" x14ac:dyDescent="0.2">
      <c r="A14947" t="str">
        <f>"SLC37A3"</f>
        <v>SLC37A3</v>
      </c>
      <c r="B14947" t="s">
        <v>5</v>
      </c>
    </row>
    <row r="14948" spans="1:2" x14ac:dyDescent="0.2">
      <c r="A14948" t="str">
        <f>"SLC37A4"</f>
        <v>SLC37A4</v>
      </c>
      <c r="B14948" t="s">
        <v>2</v>
      </c>
    </row>
    <row r="14949" spans="1:2" x14ac:dyDescent="0.2">
      <c r="A14949" t="str">
        <f>"SLC38A1"</f>
        <v>SLC38A1</v>
      </c>
      <c r="B14949" t="s">
        <v>5</v>
      </c>
    </row>
    <row r="14950" spans="1:2" x14ac:dyDescent="0.2">
      <c r="A14950" t="str">
        <f>"SLC38A10"</f>
        <v>SLC38A10</v>
      </c>
      <c r="B14950" t="s">
        <v>6</v>
      </c>
    </row>
    <row r="14951" spans="1:2" x14ac:dyDescent="0.2">
      <c r="A14951" t="str">
        <f>"SLC38A11"</f>
        <v>SLC38A11</v>
      </c>
      <c r="B14951" t="s">
        <v>2</v>
      </c>
    </row>
    <row r="14952" spans="1:2" x14ac:dyDescent="0.2">
      <c r="A14952" t="str">
        <f>"SLC38A2"</f>
        <v>SLC38A2</v>
      </c>
      <c r="B14952" t="s">
        <v>5</v>
      </c>
    </row>
    <row r="14953" spans="1:2" x14ac:dyDescent="0.2">
      <c r="A14953" t="str">
        <f>"SLC38A3"</f>
        <v>SLC38A3</v>
      </c>
      <c r="B14953" t="s">
        <v>7</v>
      </c>
    </row>
    <row r="14954" spans="1:2" x14ac:dyDescent="0.2">
      <c r="A14954" t="str">
        <f>"SLC38A4"</f>
        <v>SLC38A4</v>
      </c>
      <c r="B14954" t="s">
        <v>8</v>
      </c>
    </row>
    <row r="14955" spans="1:2" x14ac:dyDescent="0.2">
      <c r="A14955" t="str">
        <f>"SLC38A5"</f>
        <v>SLC38A5</v>
      </c>
      <c r="B14955" t="s">
        <v>5</v>
      </c>
    </row>
    <row r="14956" spans="1:2" x14ac:dyDescent="0.2">
      <c r="A14956" t="str">
        <f>"SLC38A6"</f>
        <v>SLC38A6</v>
      </c>
      <c r="B14956" t="s">
        <v>5</v>
      </c>
    </row>
    <row r="14957" spans="1:2" x14ac:dyDescent="0.2">
      <c r="A14957" t="str">
        <f>"SLC38A7"</f>
        <v>SLC38A7</v>
      </c>
      <c r="B14957" t="s">
        <v>2</v>
      </c>
    </row>
    <row r="14958" spans="1:2" x14ac:dyDescent="0.2">
      <c r="A14958" t="str">
        <f>"SLC38A8"</f>
        <v>SLC38A8</v>
      </c>
      <c r="B14958" t="s">
        <v>5</v>
      </c>
    </row>
    <row r="14959" spans="1:2" x14ac:dyDescent="0.2">
      <c r="A14959" t="str">
        <f>"SLC38A9"</f>
        <v>SLC38A9</v>
      </c>
      <c r="B14959" t="s">
        <v>5</v>
      </c>
    </row>
    <row r="14960" spans="1:2" x14ac:dyDescent="0.2">
      <c r="A14960" t="str">
        <f>"SLC39A1"</f>
        <v>SLC39A1</v>
      </c>
      <c r="B14960" t="s">
        <v>2</v>
      </c>
    </row>
    <row r="14961" spans="1:2" x14ac:dyDescent="0.2">
      <c r="A14961" t="str">
        <f>"SLC39A10"</f>
        <v>SLC39A10</v>
      </c>
      <c r="B14961" t="s">
        <v>6</v>
      </c>
    </row>
    <row r="14962" spans="1:2" x14ac:dyDescent="0.2">
      <c r="A14962" t="str">
        <f>"SLC39A11"</f>
        <v>SLC39A11</v>
      </c>
      <c r="B14962" t="s">
        <v>5</v>
      </c>
    </row>
    <row r="14963" spans="1:2" x14ac:dyDescent="0.2">
      <c r="A14963" t="str">
        <f>"SLC39A12"</f>
        <v>SLC39A12</v>
      </c>
      <c r="B14963" t="s">
        <v>5</v>
      </c>
    </row>
    <row r="14964" spans="1:2" x14ac:dyDescent="0.2">
      <c r="A14964" t="str">
        <f>"SLC39A13"</f>
        <v>SLC39A13</v>
      </c>
      <c r="B14964" t="s">
        <v>2</v>
      </c>
    </row>
    <row r="14965" spans="1:2" x14ac:dyDescent="0.2">
      <c r="A14965" t="str">
        <f>"SLC39A14"</f>
        <v>SLC39A14</v>
      </c>
      <c r="B14965" t="s">
        <v>4</v>
      </c>
    </row>
    <row r="14966" spans="1:2" x14ac:dyDescent="0.2">
      <c r="A14966" t="str">
        <f>"SLC39A2"</f>
        <v>SLC39A2</v>
      </c>
      <c r="B14966" t="s">
        <v>5</v>
      </c>
    </row>
    <row r="14967" spans="1:2" x14ac:dyDescent="0.2">
      <c r="A14967" t="str">
        <f>"SLC39A3"</f>
        <v>SLC39A3</v>
      </c>
      <c r="B14967" t="s">
        <v>5</v>
      </c>
    </row>
    <row r="14968" spans="1:2" x14ac:dyDescent="0.2">
      <c r="A14968" t="str">
        <f>"SLC39A4"</f>
        <v>SLC39A4</v>
      </c>
      <c r="B14968" t="s">
        <v>6</v>
      </c>
    </row>
    <row r="14969" spans="1:2" x14ac:dyDescent="0.2">
      <c r="A14969" t="str">
        <f>"SLC39A5"</f>
        <v>SLC39A5</v>
      </c>
      <c r="B14969" t="s">
        <v>5</v>
      </c>
    </row>
    <row r="14970" spans="1:2" x14ac:dyDescent="0.2">
      <c r="A14970" t="str">
        <f>"SLC39A6"</f>
        <v>SLC39A6</v>
      </c>
      <c r="B14970" t="s">
        <v>2</v>
      </c>
    </row>
    <row r="14971" spans="1:2" x14ac:dyDescent="0.2">
      <c r="A14971" t="str">
        <f>"SLC39A7"</f>
        <v>SLC39A7</v>
      </c>
      <c r="B14971" t="s">
        <v>6</v>
      </c>
    </row>
    <row r="14972" spans="1:2" x14ac:dyDescent="0.2">
      <c r="A14972" t="str">
        <f>"SLC39A8"</f>
        <v>SLC39A8</v>
      </c>
      <c r="B14972" t="s">
        <v>5</v>
      </c>
    </row>
    <row r="14973" spans="1:2" x14ac:dyDescent="0.2">
      <c r="A14973" t="str">
        <f>"SLC39A9"</f>
        <v>SLC39A9</v>
      </c>
      <c r="B14973" t="s">
        <v>2</v>
      </c>
    </row>
    <row r="14974" spans="1:2" x14ac:dyDescent="0.2">
      <c r="A14974" t="str">
        <f>"SLC3A1"</f>
        <v>SLC3A1</v>
      </c>
      <c r="B14974" t="s">
        <v>7</v>
      </c>
    </row>
    <row r="14975" spans="1:2" x14ac:dyDescent="0.2">
      <c r="A14975" t="str">
        <f>"SLC3A2"</f>
        <v>SLC3A2</v>
      </c>
      <c r="B14975" t="s">
        <v>5</v>
      </c>
    </row>
    <row r="14976" spans="1:2" x14ac:dyDescent="0.2">
      <c r="A14976" t="str">
        <f>"SLC40A1"</f>
        <v>SLC40A1</v>
      </c>
      <c r="B14976" t="s">
        <v>2</v>
      </c>
    </row>
    <row r="14977" spans="1:2" x14ac:dyDescent="0.2">
      <c r="A14977" t="str">
        <f>"SLC41A1"</f>
        <v>SLC41A1</v>
      </c>
      <c r="B14977" t="s">
        <v>5</v>
      </c>
    </row>
    <row r="14978" spans="1:2" x14ac:dyDescent="0.2">
      <c r="A14978" t="str">
        <f>"SLC41A2"</f>
        <v>SLC41A2</v>
      </c>
      <c r="B14978" t="s">
        <v>5</v>
      </c>
    </row>
    <row r="14979" spans="1:2" x14ac:dyDescent="0.2">
      <c r="A14979" t="str">
        <f>"SLC41A3"</f>
        <v>SLC41A3</v>
      </c>
      <c r="B14979" t="s">
        <v>5</v>
      </c>
    </row>
    <row r="14980" spans="1:2" x14ac:dyDescent="0.2">
      <c r="A14980" t="str">
        <f>"SLC43A1"</f>
        <v>SLC43A1</v>
      </c>
      <c r="B14980" t="s">
        <v>5</v>
      </c>
    </row>
    <row r="14981" spans="1:2" x14ac:dyDescent="0.2">
      <c r="A14981" t="str">
        <f>"SLC43A2"</f>
        <v>SLC43A2</v>
      </c>
      <c r="B14981" t="s">
        <v>5</v>
      </c>
    </row>
    <row r="14982" spans="1:2" x14ac:dyDescent="0.2">
      <c r="A14982" t="str">
        <f>"SLC43A3"</f>
        <v>SLC43A3</v>
      </c>
      <c r="B14982" t="s">
        <v>4</v>
      </c>
    </row>
    <row r="14983" spans="1:2" x14ac:dyDescent="0.2">
      <c r="A14983" t="str">
        <f>"SLC44A1"</f>
        <v>SLC44A1</v>
      </c>
      <c r="B14983" t="s">
        <v>6</v>
      </c>
    </row>
    <row r="14984" spans="1:2" x14ac:dyDescent="0.2">
      <c r="A14984" t="str">
        <f>"SLC44A2"</f>
        <v>SLC44A2</v>
      </c>
      <c r="B14984" t="s">
        <v>5</v>
      </c>
    </row>
    <row r="14985" spans="1:2" x14ac:dyDescent="0.2">
      <c r="A14985" t="str">
        <f>"SLC44A3"</f>
        <v>SLC44A3</v>
      </c>
      <c r="B14985" t="s">
        <v>5</v>
      </c>
    </row>
    <row r="14986" spans="1:2" x14ac:dyDescent="0.2">
      <c r="A14986" t="str">
        <f>"SLC44A4"</f>
        <v>SLC44A4</v>
      </c>
      <c r="B14986" t="s">
        <v>5</v>
      </c>
    </row>
    <row r="14987" spans="1:2" x14ac:dyDescent="0.2">
      <c r="A14987" t="str">
        <f>"SLC44A5"</f>
        <v>SLC44A5</v>
      </c>
      <c r="B14987" t="s">
        <v>5</v>
      </c>
    </row>
    <row r="14988" spans="1:2" x14ac:dyDescent="0.2">
      <c r="A14988" t="str">
        <f>"SLC45A1"</f>
        <v>SLC45A1</v>
      </c>
      <c r="B14988" t="s">
        <v>5</v>
      </c>
    </row>
    <row r="14989" spans="1:2" x14ac:dyDescent="0.2">
      <c r="A14989" t="str">
        <f>"SLC45A2"</f>
        <v>SLC45A2</v>
      </c>
      <c r="B14989" t="s">
        <v>5</v>
      </c>
    </row>
    <row r="14990" spans="1:2" x14ac:dyDescent="0.2">
      <c r="A14990" t="str">
        <f>"SLC45A3"</f>
        <v>SLC45A3</v>
      </c>
      <c r="B14990" t="s">
        <v>3</v>
      </c>
    </row>
    <row r="14991" spans="1:2" x14ac:dyDescent="0.2">
      <c r="A14991" t="str">
        <f>"SLC45A4"</f>
        <v>SLC45A4</v>
      </c>
      <c r="B14991" t="s">
        <v>5</v>
      </c>
    </row>
    <row r="14992" spans="1:2" x14ac:dyDescent="0.2">
      <c r="A14992" t="str">
        <f>"SLC46A1"</f>
        <v>SLC46A1</v>
      </c>
      <c r="B14992" t="s">
        <v>5</v>
      </c>
    </row>
    <row r="14993" spans="1:2" x14ac:dyDescent="0.2">
      <c r="A14993" t="str">
        <f>"SLC46A2"</f>
        <v>SLC46A2</v>
      </c>
      <c r="B14993" t="s">
        <v>5</v>
      </c>
    </row>
    <row r="14994" spans="1:2" x14ac:dyDescent="0.2">
      <c r="A14994" t="str">
        <f>"SLC46A3"</f>
        <v>SLC46A3</v>
      </c>
      <c r="B14994" t="s">
        <v>5</v>
      </c>
    </row>
    <row r="14995" spans="1:2" x14ac:dyDescent="0.2">
      <c r="A14995" t="str">
        <f>"SLC47A1"</f>
        <v>SLC47A1</v>
      </c>
      <c r="B14995" t="s">
        <v>2</v>
      </c>
    </row>
    <row r="14996" spans="1:2" x14ac:dyDescent="0.2">
      <c r="A14996" t="str">
        <f>"SLC47A2"</f>
        <v>SLC47A2</v>
      </c>
      <c r="B14996" t="s">
        <v>5</v>
      </c>
    </row>
    <row r="14997" spans="1:2" x14ac:dyDescent="0.2">
      <c r="A14997" t="str">
        <f>"SLC48A1"</f>
        <v>SLC48A1</v>
      </c>
      <c r="B14997" t="s">
        <v>5</v>
      </c>
    </row>
    <row r="14998" spans="1:2" x14ac:dyDescent="0.2">
      <c r="A14998" t="str">
        <f>"SLC4A1"</f>
        <v>SLC4A1</v>
      </c>
      <c r="B14998" t="s">
        <v>6</v>
      </c>
    </row>
    <row r="14999" spans="1:2" x14ac:dyDescent="0.2">
      <c r="A14999" t="str">
        <f>"SLC4A10"</f>
        <v>SLC4A10</v>
      </c>
      <c r="B14999" t="s">
        <v>6</v>
      </c>
    </row>
    <row r="15000" spans="1:2" x14ac:dyDescent="0.2">
      <c r="A15000" t="str">
        <f>"SLC4A11"</f>
        <v>SLC4A11</v>
      </c>
      <c r="B15000" t="s">
        <v>5</v>
      </c>
    </row>
    <row r="15001" spans="1:2" x14ac:dyDescent="0.2">
      <c r="A15001" t="str">
        <f>"SLC4A1AP"</f>
        <v>SLC4A1AP</v>
      </c>
      <c r="B15001" t="s">
        <v>8</v>
      </c>
    </row>
    <row r="15002" spans="1:2" x14ac:dyDescent="0.2">
      <c r="A15002" t="str">
        <f>"SLC4A2"</f>
        <v>SLC4A2</v>
      </c>
      <c r="B15002" t="s">
        <v>2</v>
      </c>
    </row>
    <row r="15003" spans="1:2" x14ac:dyDescent="0.2">
      <c r="A15003" t="str">
        <f>"SLC4A3"</f>
        <v>SLC4A3</v>
      </c>
      <c r="B15003" t="s">
        <v>5</v>
      </c>
    </row>
    <row r="15004" spans="1:2" x14ac:dyDescent="0.2">
      <c r="A15004" t="str">
        <f>"SLC4A4"</f>
        <v>SLC4A4</v>
      </c>
      <c r="B15004" t="s">
        <v>5</v>
      </c>
    </row>
    <row r="15005" spans="1:2" x14ac:dyDescent="0.2">
      <c r="A15005" t="str">
        <f>"SLC4A5"</f>
        <v>SLC4A5</v>
      </c>
      <c r="B15005" t="s">
        <v>2</v>
      </c>
    </row>
    <row r="15006" spans="1:2" x14ac:dyDescent="0.2">
      <c r="A15006" t="str">
        <f>"SLC4A7"</f>
        <v>SLC4A7</v>
      </c>
      <c r="B15006" t="s">
        <v>5</v>
      </c>
    </row>
    <row r="15007" spans="1:2" x14ac:dyDescent="0.2">
      <c r="A15007" t="str">
        <f>"SLC4A8"</f>
        <v>SLC4A8</v>
      </c>
      <c r="B15007" t="s">
        <v>5</v>
      </c>
    </row>
    <row r="15008" spans="1:2" x14ac:dyDescent="0.2">
      <c r="A15008" t="str">
        <f>"SLC4A9"</f>
        <v>SLC4A9</v>
      </c>
      <c r="B15008" t="s">
        <v>5</v>
      </c>
    </row>
    <row r="15009" spans="1:2" x14ac:dyDescent="0.2">
      <c r="A15009" t="str">
        <f>"SLC50A1"</f>
        <v>SLC50A1</v>
      </c>
      <c r="B15009" t="s">
        <v>6</v>
      </c>
    </row>
    <row r="15010" spans="1:2" x14ac:dyDescent="0.2">
      <c r="A15010" t="str">
        <f>"SLC51A"</f>
        <v>SLC51A</v>
      </c>
      <c r="B15010" t="s">
        <v>2</v>
      </c>
    </row>
    <row r="15011" spans="1:2" x14ac:dyDescent="0.2">
      <c r="A15011" t="str">
        <f>"SLC51B"</f>
        <v>SLC51B</v>
      </c>
      <c r="B15011" t="s">
        <v>5</v>
      </c>
    </row>
    <row r="15012" spans="1:2" x14ac:dyDescent="0.2">
      <c r="A15012" t="str">
        <f>"SLC52A1"</f>
        <v>SLC52A1</v>
      </c>
      <c r="B15012" t="s">
        <v>5</v>
      </c>
    </row>
    <row r="15013" spans="1:2" x14ac:dyDescent="0.2">
      <c r="A15013" t="str">
        <f>"SLC52A2"</f>
        <v>SLC52A2</v>
      </c>
      <c r="B15013" t="s">
        <v>5</v>
      </c>
    </row>
    <row r="15014" spans="1:2" x14ac:dyDescent="0.2">
      <c r="A15014" t="str">
        <f>"SLC52A3"</f>
        <v>SLC52A3</v>
      </c>
      <c r="B15014" t="s">
        <v>5</v>
      </c>
    </row>
    <row r="15015" spans="1:2" x14ac:dyDescent="0.2">
      <c r="A15015" t="str">
        <f>"SLC5A1"</f>
        <v>SLC5A1</v>
      </c>
      <c r="B15015" t="s">
        <v>5</v>
      </c>
    </row>
    <row r="15016" spans="1:2" x14ac:dyDescent="0.2">
      <c r="A15016" t="str">
        <f>"SLC5A10"</f>
        <v>SLC5A10</v>
      </c>
      <c r="B15016" t="s">
        <v>5</v>
      </c>
    </row>
    <row r="15017" spans="1:2" x14ac:dyDescent="0.2">
      <c r="A15017" t="str">
        <f>"SLC5A11"</f>
        <v>SLC5A11</v>
      </c>
      <c r="B15017" t="s">
        <v>5</v>
      </c>
    </row>
    <row r="15018" spans="1:2" x14ac:dyDescent="0.2">
      <c r="A15018" t="str">
        <f>"SLC5A12"</f>
        <v>SLC5A12</v>
      </c>
      <c r="B15018" t="s">
        <v>5</v>
      </c>
    </row>
    <row r="15019" spans="1:2" x14ac:dyDescent="0.2">
      <c r="A15019" t="str">
        <f>"SLC5A2"</f>
        <v>SLC5A2</v>
      </c>
      <c r="B15019" t="s">
        <v>5</v>
      </c>
    </row>
    <row r="15020" spans="1:2" x14ac:dyDescent="0.2">
      <c r="A15020" t="str">
        <f>"SLC5A3"</f>
        <v>SLC5A3</v>
      </c>
      <c r="B15020" t="s">
        <v>6</v>
      </c>
    </row>
    <row r="15021" spans="1:2" x14ac:dyDescent="0.2">
      <c r="A15021" t="str">
        <f>"SLC5A4"</f>
        <v>SLC5A4</v>
      </c>
      <c r="B15021" t="s">
        <v>5</v>
      </c>
    </row>
    <row r="15022" spans="1:2" x14ac:dyDescent="0.2">
      <c r="A15022" t="str">
        <f>"SLC5A5"</f>
        <v>SLC5A5</v>
      </c>
      <c r="B15022" t="s">
        <v>5</v>
      </c>
    </row>
    <row r="15023" spans="1:2" x14ac:dyDescent="0.2">
      <c r="A15023" t="str">
        <f>"SLC5A6"</f>
        <v>SLC5A6</v>
      </c>
      <c r="B15023" t="s">
        <v>7</v>
      </c>
    </row>
    <row r="15024" spans="1:2" x14ac:dyDescent="0.2">
      <c r="A15024" t="str">
        <f>"SLC5A7"</f>
        <v>SLC5A7</v>
      </c>
      <c r="B15024" t="s">
        <v>5</v>
      </c>
    </row>
    <row r="15025" spans="1:2" x14ac:dyDescent="0.2">
      <c r="A15025" t="str">
        <f>"SLC5A8"</f>
        <v>SLC5A8</v>
      </c>
      <c r="B15025" t="s">
        <v>5</v>
      </c>
    </row>
    <row r="15026" spans="1:2" x14ac:dyDescent="0.2">
      <c r="A15026" t="str">
        <f>"SLC5A9"</f>
        <v>SLC5A9</v>
      </c>
      <c r="B15026" t="s">
        <v>5</v>
      </c>
    </row>
    <row r="15027" spans="1:2" x14ac:dyDescent="0.2">
      <c r="A15027" t="str">
        <f>"SLC6A1"</f>
        <v>SLC6A1</v>
      </c>
      <c r="B15027" t="s">
        <v>7</v>
      </c>
    </row>
    <row r="15028" spans="1:2" x14ac:dyDescent="0.2">
      <c r="A15028" t="str">
        <f>"SLC6A11"</f>
        <v>SLC6A11</v>
      </c>
      <c r="B15028" t="s">
        <v>5</v>
      </c>
    </row>
    <row r="15029" spans="1:2" x14ac:dyDescent="0.2">
      <c r="A15029" t="str">
        <f>"SLC6A12"</f>
        <v>SLC6A12</v>
      </c>
      <c r="B15029" t="s">
        <v>5</v>
      </c>
    </row>
    <row r="15030" spans="1:2" x14ac:dyDescent="0.2">
      <c r="A15030" t="str">
        <f>"SLC6A13"</f>
        <v>SLC6A13</v>
      </c>
      <c r="B15030" t="s">
        <v>5</v>
      </c>
    </row>
    <row r="15031" spans="1:2" x14ac:dyDescent="0.2">
      <c r="A15031" t="str">
        <f>"SLC6A14"</f>
        <v>SLC6A14</v>
      </c>
      <c r="B15031" t="s">
        <v>7</v>
      </c>
    </row>
    <row r="15032" spans="1:2" x14ac:dyDescent="0.2">
      <c r="A15032" t="str">
        <f>"SLC6A15"</f>
        <v>SLC6A15</v>
      </c>
      <c r="B15032" t="s">
        <v>5</v>
      </c>
    </row>
    <row r="15033" spans="1:2" x14ac:dyDescent="0.2">
      <c r="A15033" t="str">
        <f>"SLC6A16"</f>
        <v>SLC6A16</v>
      </c>
      <c r="B15033" t="s">
        <v>5</v>
      </c>
    </row>
    <row r="15034" spans="1:2" x14ac:dyDescent="0.2">
      <c r="A15034" t="str">
        <f>"SLC6A17"</f>
        <v>SLC6A17</v>
      </c>
      <c r="B15034" t="s">
        <v>5</v>
      </c>
    </row>
    <row r="15035" spans="1:2" x14ac:dyDescent="0.2">
      <c r="A15035" t="str">
        <f>"SLC6A18"</f>
        <v>SLC6A18</v>
      </c>
      <c r="B15035" t="s">
        <v>5</v>
      </c>
    </row>
    <row r="15036" spans="1:2" x14ac:dyDescent="0.2">
      <c r="A15036" t="str">
        <f>"SLC6A19"</f>
        <v>SLC6A19</v>
      </c>
      <c r="B15036" t="s">
        <v>5</v>
      </c>
    </row>
    <row r="15037" spans="1:2" x14ac:dyDescent="0.2">
      <c r="A15037" t="str">
        <f>"SLC6A2"</f>
        <v>SLC6A2</v>
      </c>
      <c r="B15037" t="s">
        <v>7</v>
      </c>
    </row>
    <row r="15038" spans="1:2" x14ac:dyDescent="0.2">
      <c r="A15038" t="str">
        <f>"SLC6A20"</f>
        <v>SLC6A20</v>
      </c>
      <c r="B15038" t="s">
        <v>5</v>
      </c>
    </row>
    <row r="15039" spans="1:2" x14ac:dyDescent="0.2">
      <c r="A15039" t="str">
        <f>"SLC6A3"</f>
        <v>SLC6A3</v>
      </c>
      <c r="B15039" t="s">
        <v>7</v>
      </c>
    </row>
    <row r="15040" spans="1:2" x14ac:dyDescent="0.2">
      <c r="A15040" t="str">
        <f>"SLC6A4"</f>
        <v>SLC6A4</v>
      </c>
      <c r="B15040" t="s">
        <v>7</v>
      </c>
    </row>
    <row r="15041" spans="1:2" x14ac:dyDescent="0.2">
      <c r="A15041" t="str">
        <f>"SLC6A5"</f>
        <v>SLC6A5</v>
      </c>
      <c r="B15041" t="s">
        <v>7</v>
      </c>
    </row>
    <row r="15042" spans="1:2" x14ac:dyDescent="0.2">
      <c r="A15042" t="str">
        <f>"SLC6A6"</f>
        <v>SLC6A6</v>
      </c>
      <c r="B15042" t="s">
        <v>5</v>
      </c>
    </row>
    <row r="15043" spans="1:2" x14ac:dyDescent="0.2">
      <c r="A15043" t="str">
        <f>"SLC6A7"</f>
        <v>SLC6A7</v>
      </c>
      <c r="B15043" t="s">
        <v>7</v>
      </c>
    </row>
    <row r="15044" spans="1:2" x14ac:dyDescent="0.2">
      <c r="A15044" t="str">
        <f>"SLC6A8"</f>
        <v>SLC6A8</v>
      </c>
      <c r="B15044" t="s">
        <v>7</v>
      </c>
    </row>
    <row r="15045" spans="1:2" x14ac:dyDescent="0.2">
      <c r="A15045" t="str">
        <f>"SLC6A9"</f>
        <v>SLC6A9</v>
      </c>
      <c r="B15045" t="s">
        <v>7</v>
      </c>
    </row>
    <row r="15046" spans="1:2" x14ac:dyDescent="0.2">
      <c r="A15046" t="str">
        <f>"SLC7A1"</f>
        <v>SLC7A1</v>
      </c>
      <c r="B15046" t="s">
        <v>7</v>
      </c>
    </row>
    <row r="15047" spans="1:2" x14ac:dyDescent="0.2">
      <c r="A15047" t="str">
        <f>"SLC7A10"</f>
        <v>SLC7A10</v>
      </c>
      <c r="B15047" t="s">
        <v>6</v>
      </c>
    </row>
    <row r="15048" spans="1:2" x14ac:dyDescent="0.2">
      <c r="A15048" t="str">
        <f>"SLC7A11"</f>
        <v>SLC7A11</v>
      </c>
      <c r="B15048" t="s">
        <v>7</v>
      </c>
    </row>
    <row r="15049" spans="1:2" x14ac:dyDescent="0.2">
      <c r="A15049" t="str">
        <f>"SLC7A13"</f>
        <v>SLC7A13</v>
      </c>
      <c r="B15049" t="s">
        <v>6</v>
      </c>
    </row>
    <row r="15050" spans="1:2" x14ac:dyDescent="0.2">
      <c r="A15050" t="str">
        <f>"SLC7A14"</f>
        <v>SLC7A14</v>
      </c>
      <c r="B15050" t="s">
        <v>6</v>
      </c>
    </row>
    <row r="15051" spans="1:2" x14ac:dyDescent="0.2">
      <c r="A15051" t="str">
        <f>"SLC7A2"</f>
        <v>SLC7A2</v>
      </c>
      <c r="B15051" t="s">
        <v>7</v>
      </c>
    </row>
    <row r="15052" spans="1:2" x14ac:dyDescent="0.2">
      <c r="A15052" t="str">
        <f>"SLC7A3"</f>
        <v>SLC7A3</v>
      </c>
      <c r="B15052" t="s">
        <v>7</v>
      </c>
    </row>
    <row r="15053" spans="1:2" x14ac:dyDescent="0.2">
      <c r="A15053" t="str">
        <f>"SLC7A4"</f>
        <v>SLC7A4</v>
      </c>
      <c r="B15053" t="s">
        <v>7</v>
      </c>
    </row>
    <row r="15054" spans="1:2" x14ac:dyDescent="0.2">
      <c r="A15054" t="str">
        <f>"SLC7A5"</f>
        <v>SLC7A5</v>
      </c>
      <c r="B15054" t="s">
        <v>3</v>
      </c>
    </row>
    <row r="15055" spans="1:2" x14ac:dyDescent="0.2">
      <c r="A15055" t="str">
        <f>"SLC7A6"</f>
        <v>SLC7A6</v>
      </c>
      <c r="B15055" t="s">
        <v>5</v>
      </c>
    </row>
    <row r="15056" spans="1:2" x14ac:dyDescent="0.2">
      <c r="A15056" t="str">
        <f>"SLC7A6OS"</f>
        <v>SLC7A6OS</v>
      </c>
      <c r="B15056" t="s">
        <v>4</v>
      </c>
    </row>
    <row r="15057" spans="1:2" x14ac:dyDescent="0.2">
      <c r="A15057" t="str">
        <f>"SLC7A7"</f>
        <v>SLC7A7</v>
      </c>
      <c r="B15057" t="s">
        <v>5</v>
      </c>
    </row>
    <row r="15058" spans="1:2" x14ac:dyDescent="0.2">
      <c r="A15058" t="str">
        <f>"SLC7A8"</f>
        <v>SLC7A8</v>
      </c>
      <c r="B15058" t="s">
        <v>7</v>
      </c>
    </row>
    <row r="15059" spans="1:2" x14ac:dyDescent="0.2">
      <c r="A15059" t="str">
        <f>"SLC7A9"</f>
        <v>SLC7A9</v>
      </c>
      <c r="B15059" t="s">
        <v>7</v>
      </c>
    </row>
    <row r="15060" spans="1:2" x14ac:dyDescent="0.2">
      <c r="A15060" t="str">
        <f>"SLC8A1"</f>
        <v>SLC8A1</v>
      </c>
      <c r="B15060" t="s">
        <v>7</v>
      </c>
    </row>
    <row r="15061" spans="1:2" x14ac:dyDescent="0.2">
      <c r="A15061" t="str">
        <f>"SLC8A2"</f>
        <v>SLC8A2</v>
      </c>
      <c r="B15061" t="s">
        <v>6</v>
      </c>
    </row>
    <row r="15062" spans="1:2" x14ac:dyDescent="0.2">
      <c r="A15062" t="str">
        <f>"SLC8A3"</f>
        <v>SLC8A3</v>
      </c>
      <c r="B15062" t="s">
        <v>6</v>
      </c>
    </row>
    <row r="15063" spans="1:2" x14ac:dyDescent="0.2">
      <c r="A15063" t="str">
        <f>"SLC8B1"</f>
        <v>SLC8B1</v>
      </c>
      <c r="B15063" t="s">
        <v>6</v>
      </c>
    </row>
    <row r="15064" spans="1:2" x14ac:dyDescent="0.2">
      <c r="A15064" t="str">
        <f>"SLC9A1"</f>
        <v>SLC9A1</v>
      </c>
      <c r="B15064" t="s">
        <v>7</v>
      </c>
    </row>
    <row r="15065" spans="1:2" x14ac:dyDescent="0.2">
      <c r="A15065" t="str">
        <f>"SLC9A2"</f>
        <v>SLC9A2</v>
      </c>
      <c r="B15065" t="s">
        <v>5</v>
      </c>
    </row>
    <row r="15066" spans="1:2" x14ac:dyDescent="0.2">
      <c r="A15066" t="str">
        <f>"SLC9A3"</f>
        <v>SLC9A3</v>
      </c>
      <c r="B15066" t="s">
        <v>6</v>
      </c>
    </row>
    <row r="15067" spans="1:2" x14ac:dyDescent="0.2">
      <c r="A15067" t="str">
        <f>"SLC9A3R1"</f>
        <v>SLC9A3R1</v>
      </c>
      <c r="B15067" t="s">
        <v>6</v>
      </c>
    </row>
    <row r="15068" spans="1:2" x14ac:dyDescent="0.2">
      <c r="A15068" t="str">
        <f>"SLC9A3R2"</f>
        <v>SLC9A3R2</v>
      </c>
      <c r="B15068" t="s">
        <v>4</v>
      </c>
    </row>
    <row r="15069" spans="1:2" x14ac:dyDescent="0.2">
      <c r="A15069" t="str">
        <f>"SLC9A4"</f>
        <v>SLC9A4</v>
      </c>
      <c r="B15069" t="s">
        <v>5</v>
      </c>
    </row>
    <row r="15070" spans="1:2" x14ac:dyDescent="0.2">
      <c r="A15070" t="str">
        <f>"SLC9A5"</f>
        <v>SLC9A5</v>
      </c>
      <c r="B15070" t="s">
        <v>5</v>
      </c>
    </row>
    <row r="15071" spans="1:2" x14ac:dyDescent="0.2">
      <c r="A15071" t="str">
        <f>"SLC9A6"</f>
        <v>SLC9A6</v>
      </c>
      <c r="B15071" t="s">
        <v>2</v>
      </c>
    </row>
    <row r="15072" spans="1:2" x14ac:dyDescent="0.2">
      <c r="A15072" t="str">
        <f>"SLC9A7"</f>
        <v>SLC9A7</v>
      </c>
      <c r="B15072" t="s">
        <v>5</v>
      </c>
    </row>
    <row r="15073" spans="1:2" x14ac:dyDescent="0.2">
      <c r="A15073" t="str">
        <f>"SLC9A8"</f>
        <v>SLC9A8</v>
      </c>
      <c r="B15073" t="s">
        <v>5</v>
      </c>
    </row>
    <row r="15074" spans="1:2" x14ac:dyDescent="0.2">
      <c r="A15074" t="str">
        <f>"SLC9A9"</f>
        <v>SLC9A9</v>
      </c>
      <c r="B15074" t="s">
        <v>5</v>
      </c>
    </row>
    <row r="15075" spans="1:2" x14ac:dyDescent="0.2">
      <c r="A15075" t="str">
        <f>"SLC9B1"</f>
        <v>SLC9B1</v>
      </c>
      <c r="B15075" t="s">
        <v>5</v>
      </c>
    </row>
    <row r="15076" spans="1:2" x14ac:dyDescent="0.2">
      <c r="A15076" t="str">
        <f>"SLC9B2"</f>
        <v>SLC9B2</v>
      </c>
      <c r="B15076" t="s">
        <v>6</v>
      </c>
    </row>
    <row r="15077" spans="1:2" x14ac:dyDescent="0.2">
      <c r="A15077" t="str">
        <f>"SLC9C1"</f>
        <v>SLC9C1</v>
      </c>
      <c r="B15077" t="s">
        <v>8</v>
      </c>
    </row>
    <row r="15078" spans="1:2" x14ac:dyDescent="0.2">
      <c r="A15078" t="str">
        <f>"SLC9C2"</f>
        <v>SLC9C2</v>
      </c>
      <c r="B15078" t="s">
        <v>5</v>
      </c>
    </row>
    <row r="15079" spans="1:2" x14ac:dyDescent="0.2">
      <c r="A15079" t="str">
        <f>"SLCO1A2"</f>
        <v>SLCO1A2</v>
      </c>
      <c r="B15079" t="s">
        <v>5</v>
      </c>
    </row>
    <row r="15080" spans="1:2" x14ac:dyDescent="0.2">
      <c r="A15080" t="str">
        <f>"SLCO1B1"</f>
        <v>SLCO1B1</v>
      </c>
      <c r="B15080" t="s">
        <v>5</v>
      </c>
    </row>
    <row r="15081" spans="1:2" x14ac:dyDescent="0.2">
      <c r="A15081" t="str">
        <f>"SLCO1B3"</f>
        <v>SLCO1B3</v>
      </c>
      <c r="B15081" t="s">
        <v>2</v>
      </c>
    </row>
    <row r="15082" spans="1:2" x14ac:dyDescent="0.2">
      <c r="A15082" t="str">
        <f>"SLCO1B7"</f>
        <v>SLCO1B7</v>
      </c>
      <c r="B15082" t="s">
        <v>4</v>
      </c>
    </row>
    <row r="15083" spans="1:2" x14ac:dyDescent="0.2">
      <c r="A15083" t="str">
        <f>"SLCO1C1"</f>
        <v>SLCO1C1</v>
      </c>
      <c r="B15083" t="s">
        <v>5</v>
      </c>
    </row>
    <row r="15084" spans="1:2" x14ac:dyDescent="0.2">
      <c r="A15084" t="str">
        <f>"SLCO2A1"</f>
        <v>SLCO2A1</v>
      </c>
      <c r="B15084" t="s">
        <v>6</v>
      </c>
    </row>
    <row r="15085" spans="1:2" x14ac:dyDescent="0.2">
      <c r="A15085" t="str">
        <f>"SLCO2B1"</f>
        <v>SLCO2B1</v>
      </c>
      <c r="B15085" t="s">
        <v>7</v>
      </c>
    </row>
    <row r="15086" spans="1:2" x14ac:dyDescent="0.2">
      <c r="A15086" t="str">
        <f>"SLCO3A1"</f>
        <v>SLCO3A1</v>
      </c>
      <c r="B15086" t="s">
        <v>5</v>
      </c>
    </row>
    <row r="15087" spans="1:2" x14ac:dyDescent="0.2">
      <c r="A15087" t="str">
        <f>"SLCO4A1"</f>
        <v>SLCO4A1</v>
      </c>
      <c r="B15087" t="s">
        <v>5</v>
      </c>
    </row>
    <row r="15088" spans="1:2" x14ac:dyDescent="0.2">
      <c r="A15088" t="str">
        <f>"SLCO4C1"</f>
        <v>SLCO4C1</v>
      </c>
      <c r="B15088" t="s">
        <v>5</v>
      </c>
    </row>
    <row r="15089" spans="1:2" x14ac:dyDescent="0.2">
      <c r="A15089" t="str">
        <f>"SLCO5A1"</f>
        <v>SLCO5A1</v>
      </c>
      <c r="B15089" t="s">
        <v>5</v>
      </c>
    </row>
    <row r="15090" spans="1:2" x14ac:dyDescent="0.2">
      <c r="A15090" t="str">
        <f>"SLCO6A1"</f>
        <v>SLCO6A1</v>
      </c>
      <c r="B15090" t="s">
        <v>5</v>
      </c>
    </row>
    <row r="15091" spans="1:2" x14ac:dyDescent="0.2">
      <c r="A15091" t="str">
        <f>"SLFN11"</f>
        <v>SLFN11</v>
      </c>
      <c r="B15091" t="s">
        <v>3</v>
      </c>
    </row>
    <row r="15092" spans="1:2" x14ac:dyDescent="0.2">
      <c r="A15092" t="str">
        <f>"SLFN12"</f>
        <v>SLFN12</v>
      </c>
      <c r="B15092" t="s">
        <v>4</v>
      </c>
    </row>
    <row r="15093" spans="1:2" x14ac:dyDescent="0.2">
      <c r="A15093" t="str">
        <f>"SLFN12L"</f>
        <v>SLFN12L</v>
      </c>
      <c r="B15093" t="s">
        <v>5</v>
      </c>
    </row>
    <row r="15094" spans="1:2" x14ac:dyDescent="0.2">
      <c r="A15094" t="str">
        <f>"SLFN13"</f>
        <v>SLFN13</v>
      </c>
      <c r="B15094" t="s">
        <v>4</v>
      </c>
    </row>
    <row r="15095" spans="1:2" x14ac:dyDescent="0.2">
      <c r="A15095" t="str">
        <f>"SLFN14"</f>
        <v>SLFN14</v>
      </c>
      <c r="B15095" t="s">
        <v>4</v>
      </c>
    </row>
    <row r="15096" spans="1:2" x14ac:dyDescent="0.2">
      <c r="A15096" t="str">
        <f>"SLFN5"</f>
        <v>SLFN5</v>
      </c>
      <c r="B15096" t="s">
        <v>4</v>
      </c>
    </row>
    <row r="15097" spans="1:2" x14ac:dyDescent="0.2">
      <c r="A15097" t="str">
        <f>"SLFNL1"</f>
        <v>SLFNL1</v>
      </c>
      <c r="B15097" t="s">
        <v>4</v>
      </c>
    </row>
    <row r="15098" spans="1:2" x14ac:dyDescent="0.2">
      <c r="A15098" t="str">
        <f>"SLIRP"</f>
        <v>SLIRP</v>
      </c>
      <c r="B15098" t="s">
        <v>6</v>
      </c>
    </row>
    <row r="15099" spans="1:2" x14ac:dyDescent="0.2">
      <c r="A15099" t="str">
        <f>"SLIT1"</f>
        <v>SLIT1</v>
      </c>
      <c r="B15099" t="s">
        <v>4</v>
      </c>
    </row>
    <row r="15100" spans="1:2" x14ac:dyDescent="0.2">
      <c r="A15100" t="str">
        <f>"SLIT2"</f>
        <v>SLIT2</v>
      </c>
      <c r="B15100" t="s">
        <v>3</v>
      </c>
    </row>
    <row r="15101" spans="1:2" x14ac:dyDescent="0.2">
      <c r="A15101" t="str">
        <f>"SLIT3"</f>
        <v>SLIT3</v>
      </c>
      <c r="B15101" t="s">
        <v>6</v>
      </c>
    </row>
    <row r="15102" spans="1:2" x14ac:dyDescent="0.2">
      <c r="A15102" t="str">
        <f>"SLITRK1"</f>
        <v>SLITRK1</v>
      </c>
      <c r="B15102" t="s">
        <v>5</v>
      </c>
    </row>
    <row r="15103" spans="1:2" x14ac:dyDescent="0.2">
      <c r="A15103" t="str">
        <f>"SLITRK2"</f>
        <v>SLITRK2</v>
      </c>
      <c r="B15103" t="s">
        <v>6</v>
      </c>
    </row>
    <row r="15104" spans="1:2" x14ac:dyDescent="0.2">
      <c r="A15104" t="str">
        <f>"SLITRK3"</f>
        <v>SLITRK3</v>
      </c>
      <c r="B15104" t="s">
        <v>5</v>
      </c>
    </row>
    <row r="15105" spans="1:2" x14ac:dyDescent="0.2">
      <c r="A15105" t="str">
        <f>"SLITRK4"</f>
        <v>SLITRK4</v>
      </c>
      <c r="B15105" t="s">
        <v>5</v>
      </c>
    </row>
    <row r="15106" spans="1:2" x14ac:dyDescent="0.2">
      <c r="A15106" t="str">
        <f>"SLITRK5"</f>
        <v>SLITRK5</v>
      </c>
      <c r="B15106" t="s">
        <v>5</v>
      </c>
    </row>
    <row r="15107" spans="1:2" x14ac:dyDescent="0.2">
      <c r="A15107" t="str">
        <f>"SLITRK6"</f>
        <v>SLITRK6</v>
      </c>
      <c r="B15107" t="s">
        <v>5</v>
      </c>
    </row>
    <row r="15108" spans="1:2" x14ac:dyDescent="0.2">
      <c r="A15108" t="str">
        <f>"SLK"</f>
        <v>SLK</v>
      </c>
      <c r="B15108" t="s">
        <v>7</v>
      </c>
    </row>
    <row r="15109" spans="1:2" x14ac:dyDescent="0.2">
      <c r="A15109" t="str">
        <f>"SLMAP"</f>
        <v>SLMAP</v>
      </c>
      <c r="B15109" t="s">
        <v>2</v>
      </c>
    </row>
    <row r="15110" spans="1:2" x14ac:dyDescent="0.2">
      <c r="A15110" t="str">
        <f>"SLMO1"</f>
        <v>SLMO1</v>
      </c>
      <c r="B15110" t="s">
        <v>6</v>
      </c>
    </row>
    <row r="15111" spans="1:2" x14ac:dyDescent="0.2">
      <c r="A15111" t="str">
        <f>"SLMO2"</f>
        <v>SLMO2</v>
      </c>
      <c r="B15111" t="s">
        <v>6</v>
      </c>
    </row>
    <row r="15112" spans="1:2" x14ac:dyDescent="0.2">
      <c r="A15112" t="str">
        <f>"SLN"</f>
        <v>SLN</v>
      </c>
      <c r="B15112" t="s">
        <v>5</v>
      </c>
    </row>
    <row r="15113" spans="1:2" x14ac:dyDescent="0.2">
      <c r="A15113" t="str">
        <f>"SLPI"</f>
        <v>SLPI</v>
      </c>
      <c r="B15113" t="s">
        <v>3</v>
      </c>
    </row>
    <row r="15114" spans="1:2" x14ac:dyDescent="0.2">
      <c r="A15114" t="str">
        <f>"SLTM"</f>
        <v>SLTM</v>
      </c>
      <c r="B15114" t="s">
        <v>8</v>
      </c>
    </row>
    <row r="15115" spans="1:2" x14ac:dyDescent="0.2">
      <c r="A15115" t="str">
        <f>"SLU7"</f>
        <v>SLU7</v>
      </c>
      <c r="B15115" t="s">
        <v>3</v>
      </c>
    </row>
    <row r="15116" spans="1:2" x14ac:dyDescent="0.2">
      <c r="A15116" t="str">
        <f>"SLURP1"</f>
        <v>SLURP1</v>
      </c>
      <c r="B15116" t="s">
        <v>4</v>
      </c>
    </row>
    <row r="15117" spans="1:2" x14ac:dyDescent="0.2">
      <c r="A15117" t="str">
        <f>"SLX1A"</f>
        <v>SLX1A</v>
      </c>
      <c r="B15117" t="s">
        <v>8</v>
      </c>
    </row>
    <row r="15118" spans="1:2" x14ac:dyDescent="0.2">
      <c r="A15118" t="str">
        <f>"SLX1B"</f>
        <v>SLX1B</v>
      </c>
      <c r="B15118" t="s">
        <v>8</v>
      </c>
    </row>
    <row r="15119" spans="1:2" x14ac:dyDescent="0.2">
      <c r="A15119" t="str">
        <f>"SLX4"</f>
        <v>SLX4</v>
      </c>
      <c r="B15119" t="s">
        <v>4</v>
      </c>
    </row>
    <row r="15120" spans="1:2" x14ac:dyDescent="0.2">
      <c r="A15120" t="str">
        <f>"SLX4IP"</f>
        <v>SLX4IP</v>
      </c>
      <c r="B15120" t="s">
        <v>4</v>
      </c>
    </row>
    <row r="15121" spans="1:2" x14ac:dyDescent="0.2">
      <c r="A15121" t="str">
        <f>"SMAD1"</f>
        <v>SMAD1</v>
      </c>
      <c r="B15121" t="s">
        <v>8</v>
      </c>
    </row>
    <row r="15122" spans="1:2" x14ac:dyDescent="0.2">
      <c r="A15122" t="str">
        <f>"SMAD2"</f>
        <v>SMAD2</v>
      </c>
      <c r="B15122" t="s">
        <v>3</v>
      </c>
    </row>
    <row r="15123" spans="1:2" x14ac:dyDescent="0.2">
      <c r="A15123" t="str">
        <f>"SMAD3"</f>
        <v>SMAD3</v>
      </c>
      <c r="B15123" t="s">
        <v>3</v>
      </c>
    </row>
    <row r="15124" spans="1:2" x14ac:dyDescent="0.2">
      <c r="A15124" t="str">
        <f>"SMAD4"</f>
        <v>SMAD4</v>
      </c>
      <c r="B15124" t="s">
        <v>3</v>
      </c>
    </row>
    <row r="15125" spans="1:2" x14ac:dyDescent="0.2">
      <c r="A15125" t="str">
        <f>"SMAD5"</f>
        <v>SMAD5</v>
      </c>
      <c r="B15125" t="s">
        <v>8</v>
      </c>
    </row>
    <row r="15126" spans="1:2" x14ac:dyDescent="0.2">
      <c r="A15126" t="str">
        <f>"SMAD6"</f>
        <v>SMAD6</v>
      </c>
      <c r="B15126" t="s">
        <v>3</v>
      </c>
    </row>
    <row r="15127" spans="1:2" x14ac:dyDescent="0.2">
      <c r="A15127" t="str">
        <f>"SMAD7"</f>
        <v>SMAD7</v>
      </c>
      <c r="B15127" t="s">
        <v>3</v>
      </c>
    </row>
    <row r="15128" spans="1:2" x14ac:dyDescent="0.2">
      <c r="A15128" t="str">
        <f>"SMAD9"</f>
        <v>SMAD9</v>
      </c>
      <c r="B15128" t="s">
        <v>8</v>
      </c>
    </row>
    <row r="15129" spans="1:2" x14ac:dyDescent="0.2">
      <c r="A15129" t="str">
        <f>"SMAGP"</f>
        <v>SMAGP</v>
      </c>
      <c r="B15129" t="s">
        <v>5</v>
      </c>
    </row>
    <row r="15130" spans="1:2" x14ac:dyDescent="0.2">
      <c r="A15130" t="str">
        <f>"SMAP1"</f>
        <v>SMAP1</v>
      </c>
      <c r="B15130" t="s">
        <v>6</v>
      </c>
    </row>
    <row r="15131" spans="1:2" x14ac:dyDescent="0.2">
      <c r="A15131" t="str">
        <f>"SMAP2"</f>
        <v>SMAP2</v>
      </c>
      <c r="B15131" t="s">
        <v>4</v>
      </c>
    </row>
    <row r="15132" spans="1:2" x14ac:dyDescent="0.2">
      <c r="A15132" t="str">
        <f>"SMARCA1"</f>
        <v>SMARCA1</v>
      </c>
      <c r="B15132" t="s">
        <v>8</v>
      </c>
    </row>
    <row r="15133" spans="1:2" x14ac:dyDescent="0.2">
      <c r="A15133" t="str">
        <f>"SMARCA2"</f>
        <v>SMARCA2</v>
      </c>
      <c r="B15133" t="s">
        <v>3</v>
      </c>
    </row>
    <row r="15134" spans="1:2" x14ac:dyDescent="0.2">
      <c r="A15134" t="str">
        <f>"SMARCA4"</f>
        <v>SMARCA4</v>
      </c>
      <c r="B15134" t="s">
        <v>3</v>
      </c>
    </row>
    <row r="15135" spans="1:2" x14ac:dyDescent="0.2">
      <c r="A15135" t="str">
        <f>"SMARCA5"</f>
        <v>SMARCA5</v>
      </c>
      <c r="B15135" t="s">
        <v>3</v>
      </c>
    </row>
    <row r="15136" spans="1:2" x14ac:dyDescent="0.2">
      <c r="A15136" t="str">
        <f>"SMARCAD1"</f>
        <v>SMARCAD1</v>
      </c>
      <c r="B15136" t="s">
        <v>2</v>
      </c>
    </row>
    <row r="15137" spans="1:2" x14ac:dyDescent="0.2">
      <c r="A15137" t="str">
        <f>"SMARCAL1"</f>
        <v>SMARCAL1</v>
      </c>
      <c r="B15137" t="s">
        <v>8</v>
      </c>
    </row>
    <row r="15138" spans="1:2" x14ac:dyDescent="0.2">
      <c r="A15138" t="str">
        <f>"SMARCB1"</f>
        <v>SMARCB1</v>
      </c>
      <c r="B15138" t="s">
        <v>3</v>
      </c>
    </row>
    <row r="15139" spans="1:2" x14ac:dyDescent="0.2">
      <c r="A15139" t="str">
        <f>"SMARCC1"</f>
        <v>SMARCC1</v>
      </c>
      <c r="B15139" t="s">
        <v>6</v>
      </c>
    </row>
    <row r="15140" spans="1:2" x14ac:dyDescent="0.2">
      <c r="A15140" t="str">
        <f>"SMARCC2"</f>
        <v>SMARCC2</v>
      </c>
      <c r="B15140" t="s">
        <v>6</v>
      </c>
    </row>
    <row r="15141" spans="1:2" x14ac:dyDescent="0.2">
      <c r="A15141" t="str">
        <f>"SMARCD1"</f>
        <v>SMARCD1</v>
      </c>
      <c r="B15141" t="s">
        <v>8</v>
      </c>
    </row>
    <row r="15142" spans="1:2" x14ac:dyDescent="0.2">
      <c r="A15142" t="str">
        <f>"SMARCD2"</f>
        <v>SMARCD2</v>
      </c>
      <c r="B15142" t="s">
        <v>8</v>
      </c>
    </row>
    <row r="15143" spans="1:2" x14ac:dyDescent="0.2">
      <c r="A15143" t="str">
        <f>"SMARCD3"</f>
        <v>SMARCD3</v>
      </c>
      <c r="B15143" t="s">
        <v>8</v>
      </c>
    </row>
    <row r="15144" spans="1:2" x14ac:dyDescent="0.2">
      <c r="A15144" t="str">
        <f>"SMARCE1"</f>
        <v>SMARCE1</v>
      </c>
      <c r="B15144" t="s">
        <v>6</v>
      </c>
    </row>
    <row r="15145" spans="1:2" x14ac:dyDescent="0.2">
      <c r="A15145" t="str">
        <f>"SMC1A"</f>
        <v>SMC1A</v>
      </c>
      <c r="B15145" t="s">
        <v>3</v>
      </c>
    </row>
    <row r="15146" spans="1:2" x14ac:dyDescent="0.2">
      <c r="A15146" t="str">
        <f>"SMC1B"</f>
        <v>SMC1B</v>
      </c>
      <c r="B15146" t="s">
        <v>3</v>
      </c>
    </row>
    <row r="15147" spans="1:2" x14ac:dyDescent="0.2">
      <c r="A15147" t="str">
        <f>"SMC2"</f>
        <v>SMC2</v>
      </c>
      <c r="B15147" t="s">
        <v>3</v>
      </c>
    </row>
    <row r="15148" spans="1:2" x14ac:dyDescent="0.2">
      <c r="A15148" t="str">
        <f>"SMC3"</f>
        <v>SMC3</v>
      </c>
      <c r="B15148" t="s">
        <v>3</v>
      </c>
    </row>
    <row r="15149" spans="1:2" x14ac:dyDescent="0.2">
      <c r="A15149" t="str">
        <f>"SMC4"</f>
        <v>SMC4</v>
      </c>
      <c r="B15149" t="s">
        <v>3</v>
      </c>
    </row>
    <row r="15150" spans="1:2" x14ac:dyDescent="0.2">
      <c r="A15150" t="str">
        <f>"SMC5"</f>
        <v>SMC5</v>
      </c>
      <c r="B15150" t="s">
        <v>3</v>
      </c>
    </row>
    <row r="15151" spans="1:2" x14ac:dyDescent="0.2">
      <c r="A15151" t="str">
        <f>"SMC6"</f>
        <v>SMC6</v>
      </c>
      <c r="B15151" t="s">
        <v>3</v>
      </c>
    </row>
    <row r="15152" spans="1:2" x14ac:dyDescent="0.2">
      <c r="A15152" t="str">
        <f>"SMCHD1"</f>
        <v>SMCHD1</v>
      </c>
      <c r="B15152" t="s">
        <v>4</v>
      </c>
    </row>
    <row r="15153" spans="1:2" x14ac:dyDescent="0.2">
      <c r="A15153" t="str">
        <f>"SMCO1"</f>
        <v>SMCO1</v>
      </c>
      <c r="B15153" t="s">
        <v>2</v>
      </c>
    </row>
    <row r="15154" spans="1:2" x14ac:dyDescent="0.2">
      <c r="A15154" t="str">
        <f>"SMCO2"</f>
        <v>SMCO2</v>
      </c>
      <c r="B15154" t="s">
        <v>5</v>
      </c>
    </row>
    <row r="15155" spans="1:2" x14ac:dyDescent="0.2">
      <c r="A15155" t="str">
        <f>"SMCO3"</f>
        <v>SMCO3</v>
      </c>
      <c r="B15155" t="s">
        <v>5</v>
      </c>
    </row>
    <row r="15156" spans="1:2" x14ac:dyDescent="0.2">
      <c r="A15156" t="str">
        <f>"SMCO4"</f>
        <v>SMCO4</v>
      </c>
      <c r="B15156" t="s">
        <v>5</v>
      </c>
    </row>
    <row r="15157" spans="1:2" x14ac:dyDescent="0.2">
      <c r="A15157" t="str">
        <f>"SMCP"</f>
        <v>SMCP</v>
      </c>
      <c r="B15157" t="s">
        <v>6</v>
      </c>
    </row>
    <row r="15158" spans="1:2" x14ac:dyDescent="0.2">
      <c r="A15158" t="str">
        <f>"SMCR8"</f>
        <v>SMCR8</v>
      </c>
      <c r="B15158" t="s">
        <v>4</v>
      </c>
    </row>
    <row r="15159" spans="1:2" x14ac:dyDescent="0.2">
      <c r="A15159" t="str">
        <f>"SMCR9"</f>
        <v>SMCR9</v>
      </c>
      <c r="B15159" t="s">
        <v>4</v>
      </c>
    </row>
    <row r="15160" spans="1:2" x14ac:dyDescent="0.2">
      <c r="A15160" t="str">
        <f>"SMDT1"</f>
        <v>SMDT1</v>
      </c>
      <c r="B15160" t="s">
        <v>6</v>
      </c>
    </row>
    <row r="15161" spans="1:2" x14ac:dyDescent="0.2">
      <c r="A15161" t="str">
        <f>"SMEK1"</f>
        <v>SMEK1</v>
      </c>
      <c r="B15161" t="s">
        <v>3</v>
      </c>
    </row>
    <row r="15162" spans="1:2" x14ac:dyDescent="0.2">
      <c r="A15162" t="str">
        <f>"SMEK2"</f>
        <v>SMEK2</v>
      </c>
      <c r="B15162" t="s">
        <v>3</v>
      </c>
    </row>
    <row r="15163" spans="1:2" x14ac:dyDescent="0.2">
      <c r="A15163" t="str">
        <f>"SMG1"</f>
        <v>SMG1</v>
      </c>
      <c r="B15163" t="s">
        <v>7</v>
      </c>
    </row>
    <row r="15164" spans="1:2" x14ac:dyDescent="0.2">
      <c r="A15164" t="str">
        <f>"SMG5"</f>
        <v>SMG5</v>
      </c>
      <c r="B15164" t="s">
        <v>8</v>
      </c>
    </row>
    <row r="15165" spans="1:2" x14ac:dyDescent="0.2">
      <c r="A15165" t="str">
        <f>"SMG6"</f>
        <v>SMG6</v>
      </c>
      <c r="B15165" t="s">
        <v>8</v>
      </c>
    </row>
    <row r="15166" spans="1:2" x14ac:dyDescent="0.2">
      <c r="A15166" t="str">
        <f>"SMG7"</f>
        <v>SMG7</v>
      </c>
      <c r="B15166" t="s">
        <v>4</v>
      </c>
    </row>
    <row r="15167" spans="1:2" x14ac:dyDescent="0.2">
      <c r="A15167" t="str">
        <f>"SMG8"</f>
        <v>SMG8</v>
      </c>
      <c r="B15167" t="s">
        <v>6</v>
      </c>
    </row>
    <row r="15168" spans="1:2" x14ac:dyDescent="0.2">
      <c r="A15168" t="str">
        <f>"SMG9"</f>
        <v>SMG9</v>
      </c>
      <c r="B15168" t="s">
        <v>3</v>
      </c>
    </row>
    <row r="15169" spans="1:2" x14ac:dyDescent="0.2">
      <c r="A15169" t="str">
        <f>"SMIM1"</f>
        <v>SMIM1</v>
      </c>
      <c r="B15169" t="s">
        <v>4</v>
      </c>
    </row>
    <row r="15170" spans="1:2" x14ac:dyDescent="0.2">
      <c r="A15170" t="str">
        <f>"SMIM10"</f>
        <v>SMIM10</v>
      </c>
      <c r="B15170" t="s">
        <v>5</v>
      </c>
    </row>
    <row r="15171" spans="1:2" x14ac:dyDescent="0.2">
      <c r="A15171" t="str">
        <f>"SMIM11"</f>
        <v>SMIM11</v>
      </c>
      <c r="B15171" t="s">
        <v>5</v>
      </c>
    </row>
    <row r="15172" spans="1:2" x14ac:dyDescent="0.2">
      <c r="A15172" t="str">
        <f>"SMIM12"</f>
        <v>SMIM12</v>
      </c>
      <c r="B15172" t="s">
        <v>5</v>
      </c>
    </row>
    <row r="15173" spans="1:2" x14ac:dyDescent="0.2">
      <c r="A15173" t="str">
        <f>"SMIM13"</f>
        <v>SMIM13</v>
      </c>
      <c r="B15173" t="s">
        <v>4</v>
      </c>
    </row>
    <row r="15174" spans="1:2" x14ac:dyDescent="0.2">
      <c r="A15174" t="str">
        <f>"SMIM14"</f>
        <v>SMIM14</v>
      </c>
      <c r="B15174" t="s">
        <v>5</v>
      </c>
    </row>
    <row r="15175" spans="1:2" x14ac:dyDescent="0.2">
      <c r="A15175" t="str">
        <f>"SMIM15"</f>
        <v>SMIM15</v>
      </c>
      <c r="B15175" t="s">
        <v>5</v>
      </c>
    </row>
    <row r="15176" spans="1:2" x14ac:dyDescent="0.2">
      <c r="A15176" t="str">
        <f>"SMIM17"</f>
        <v>SMIM17</v>
      </c>
      <c r="B15176" t="s">
        <v>4</v>
      </c>
    </row>
    <row r="15177" spans="1:2" x14ac:dyDescent="0.2">
      <c r="A15177" t="str">
        <f>"SMIM18"</f>
        <v>SMIM18</v>
      </c>
      <c r="B15177" t="s">
        <v>4</v>
      </c>
    </row>
    <row r="15178" spans="1:2" x14ac:dyDescent="0.2">
      <c r="A15178" t="str">
        <f>"SMIM19"</f>
        <v>SMIM19</v>
      </c>
      <c r="B15178" t="s">
        <v>5</v>
      </c>
    </row>
    <row r="15179" spans="1:2" x14ac:dyDescent="0.2">
      <c r="A15179" t="str">
        <f>"SMIM2"</f>
        <v>SMIM2</v>
      </c>
      <c r="B15179" t="s">
        <v>4</v>
      </c>
    </row>
    <row r="15180" spans="1:2" x14ac:dyDescent="0.2">
      <c r="A15180" t="str">
        <f>"SMIM20"</f>
        <v>SMIM20</v>
      </c>
      <c r="B15180" t="s">
        <v>5</v>
      </c>
    </row>
    <row r="15181" spans="1:2" x14ac:dyDescent="0.2">
      <c r="A15181" t="str">
        <f>"SMIM21"</f>
        <v>SMIM21</v>
      </c>
      <c r="B15181" t="s">
        <v>5</v>
      </c>
    </row>
    <row r="15182" spans="1:2" x14ac:dyDescent="0.2">
      <c r="A15182" t="str">
        <f>"SMIM22"</f>
        <v>SMIM22</v>
      </c>
      <c r="B15182" t="s">
        <v>4</v>
      </c>
    </row>
    <row r="15183" spans="1:2" x14ac:dyDescent="0.2">
      <c r="A15183" t="str">
        <f>"SMIM3"</f>
        <v>SMIM3</v>
      </c>
      <c r="B15183" t="s">
        <v>5</v>
      </c>
    </row>
    <row r="15184" spans="1:2" x14ac:dyDescent="0.2">
      <c r="A15184" t="str">
        <f>"SMIM4"</f>
        <v>SMIM4</v>
      </c>
      <c r="B15184" t="s">
        <v>6</v>
      </c>
    </row>
    <row r="15185" spans="1:2" x14ac:dyDescent="0.2">
      <c r="A15185" t="str">
        <f>"SMIM5"</f>
        <v>SMIM5</v>
      </c>
      <c r="B15185" t="s">
        <v>6</v>
      </c>
    </row>
    <row r="15186" spans="1:2" x14ac:dyDescent="0.2">
      <c r="A15186" t="str">
        <f>"SMIM6"</f>
        <v>SMIM6</v>
      </c>
      <c r="B15186" t="s">
        <v>4</v>
      </c>
    </row>
    <row r="15187" spans="1:2" x14ac:dyDescent="0.2">
      <c r="A15187" t="str">
        <f>"SMIM7"</f>
        <v>SMIM7</v>
      </c>
      <c r="B15187" t="s">
        <v>5</v>
      </c>
    </row>
    <row r="15188" spans="1:2" x14ac:dyDescent="0.2">
      <c r="A15188" t="str">
        <f>"SMIM8"</f>
        <v>SMIM8</v>
      </c>
      <c r="B15188" t="s">
        <v>5</v>
      </c>
    </row>
    <row r="15189" spans="1:2" x14ac:dyDescent="0.2">
      <c r="A15189" t="str">
        <f>"SMIM9"</f>
        <v>SMIM9</v>
      </c>
      <c r="B15189" t="s">
        <v>5</v>
      </c>
    </row>
    <row r="15190" spans="1:2" x14ac:dyDescent="0.2">
      <c r="A15190" t="str">
        <f>"SMKR1"</f>
        <v>SMKR1</v>
      </c>
      <c r="B15190" t="s">
        <v>4</v>
      </c>
    </row>
    <row r="15191" spans="1:2" x14ac:dyDescent="0.2">
      <c r="A15191" t="str">
        <f>"SMLR1"</f>
        <v>SMLR1</v>
      </c>
      <c r="B15191" t="s">
        <v>5</v>
      </c>
    </row>
    <row r="15192" spans="1:2" x14ac:dyDescent="0.2">
      <c r="A15192" t="str">
        <f>"SMN1"</f>
        <v>SMN1</v>
      </c>
      <c r="B15192" t="s">
        <v>8</v>
      </c>
    </row>
    <row r="15193" spans="1:2" x14ac:dyDescent="0.2">
      <c r="A15193" t="str">
        <f>"SMN2"</f>
        <v>SMN2</v>
      </c>
      <c r="B15193" t="s">
        <v>8</v>
      </c>
    </row>
    <row r="15194" spans="1:2" x14ac:dyDescent="0.2">
      <c r="A15194" t="str">
        <f>"SMNDC1"</f>
        <v>SMNDC1</v>
      </c>
      <c r="B15194" t="s">
        <v>3</v>
      </c>
    </row>
    <row r="15195" spans="1:2" x14ac:dyDescent="0.2">
      <c r="A15195" t="str">
        <f>"SMO"</f>
        <v>SMO</v>
      </c>
      <c r="B15195" t="s">
        <v>3</v>
      </c>
    </row>
    <row r="15196" spans="1:2" x14ac:dyDescent="0.2">
      <c r="A15196" t="str">
        <f>"SMOC1"</f>
        <v>SMOC1</v>
      </c>
      <c r="B15196" t="s">
        <v>3</v>
      </c>
    </row>
    <row r="15197" spans="1:2" x14ac:dyDescent="0.2">
      <c r="A15197" t="str">
        <f>"SMOC2"</f>
        <v>SMOC2</v>
      </c>
      <c r="B15197" t="s">
        <v>5</v>
      </c>
    </row>
    <row r="15198" spans="1:2" x14ac:dyDescent="0.2">
      <c r="A15198" t="str">
        <f>"SMOX"</f>
        <v>SMOX</v>
      </c>
      <c r="B15198" t="s">
        <v>7</v>
      </c>
    </row>
    <row r="15199" spans="1:2" x14ac:dyDescent="0.2">
      <c r="A15199" t="str">
        <f>"SMPD1"</f>
        <v>SMPD1</v>
      </c>
      <c r="B15199" t="s">
        <v>7</v>
      </c>
    </row>
    <row r="15200" spans="1:2" x14ac:dyDescent="0.2">
      <c r="A15200" t="str">
        <f>"SMPD2"</f>
        <v>SMPD2</v>
      </c>
      <c r="B15200" t="s">
        <v>5</v>
      </c>
    </row>
    <row r="15201" spans="1:2" x14ac:dyDescent="0.2">
      <c r="A15201" t="str">
        <f>"SMPD3"</f>
        <v>SMPD3</v>
      </c>
      <c r="B15201" t="s">
        <v>3</v>
      </c>
    </row>
    <row r="15202" spans="1:2" x14ac:dyDescent="0.2">
      <c r="A15202" t="str">
        <f>"SMPD4"</f>
        <v>SMPD4</v>
      </c>
      <c r="B15202" t="s">
        <v>7</v>
      </c>
    </row>
    <row r="15203" spans="1:2" x14ac:dyDescent="0.2">
      <c r="A15203" t="str">
        <f>"SMPDL3A"</f>
        <v>SMPDL3A</v>
      </c>
      <c r="B15203" t="s">
        <v>4</v>
      </c>
    </row>
    <row r="15204" spans="1:2" x14ac:dyDescent="0.2">
      <c r="A15204" t="str">
        <f>"SMPDL3B"</f>
        <v>SMPDL3B</v>
      </c>
      <c r="B15204" t="s">
        <v>4</v>
      </c>
    </row>
    <row r="15205" spans="1:2" x14ac:dyDescent="0.2">
      <c r="A15205" t="str">
        <f>"SMPX"</f>
        <v>SMPX</v>
      </c>
      <c r="B15205" t="s">
        <v>3</v>
      </c>
    </row>
    <row r="15206" spans="1:2" x14ac:dyDescent="0.2">
      <c r="A15206" t="str">
        <f>"SMR3A"</f>
        <v>SMR3A</v>
      </c>
      <c r="B15206" t="s">
        <v>4</v>
      </c>
    </row>
    <row r="15207" spans="1:2" x14ac:dyDescent="0.2">
      <c r="A15207" t="str">
        <f>"SMR3B"</f>
        <v>SMR3B</v>
      </c>
      <c r="B15207" t="s">
        <v>4</v>
      </c>
    </row>
    <row r="15208" spans="1:2" x14ac:dyDescent="0.2">
      <c r="A15208" t="str">
        <f>"SMS"</f>
        <v>SMS</v>
      </c>
      <c r="B15208" t="s">
        <v>7</v>
      </c>
    </row>
    <row r="15209" spans="1:2" x14ac:dyDescent="0.2">
      <c r="A15209" t="str">
        <f>"SMTN"</f>
        <v>SMTN</v>
      </c>
      <c r="B15209" t="s">
        <v>6</v>
      </c>
    </row>
    <row r="15210" spans="1:2" x14ac:dyDescent="0.2">
      <c r="A15210" t="str">
        <f>"SMTNL1"</f>
        <v>SMTNL1</v>
      </c>
      <c r="B15210" t="s">
        <v>4</v>
      </c>
    </row>
    <row r="15211" spans="1:2" x14ac:dyDescent="0.2">
      <c r="A15211" t="str">
        <f>"SMTNL2"</f>
        <v>SMTNL2</v>
      </c>
      <c r="B15211" t="s">
        <v>4</v>
      </c>
    </row>
    <row r="15212" spans="1:2" x14ac:dyDescent="0.2">
      <c r="A15212" t="str">
        <f>"SMU1"</f>
        <v>SMU1</v>
      </c>
      <c r="B15212" t="s">
        <v>4</v>
      </c>
    </row>
    <row r="15213" spans="1:2" x14ac:dyDescent="0.2">
      <c r="A15213" t="str">
        <f>"SMUG1"</f>
        <v>SMUG1</v>
      </c>
      <c r="B15213" t="s">
        <v>3</v>
      </c>
    </row>
    <row r="15214" spans="1:2" x14ac:dyDescent="0.2">
      <c r="A15214" t="str">
        <f>"SMURF1"</f>
        <v>SMURF1</v>
      </c>
      <c r="B15214" t="s">
        <v>3</v>
      </c>
    </row>
    <row r="15215" spans="1:2" x14ac:dyDescent="0.2">
      <c r="A15215" t="str">
        <f>"SMURF2"</f>
        <v>SMURF2</v>
      </c>
      <c r="B15215" t="s">
        <v>2</v>
      </c>
    </row>
    <row r="15216" spans="1:2" x14ac:dyDescent="0.2">
      <c r="A15216" t="str">
        <f>"SMYD1"</f>
        <v>SMYD1</v>
      </c>
      <c r="B15216" t="s">
        <v>8</v>
      </c>
    </row>
    <row r="15217" spans="1:2" x14ac:dyDescent="0.2">
      <c r="A15217" t="str">
        <f>"SMYD2"</f>
        <v>SMYD2</v>
      </c>
      <c r="B15217" t="s">
        <v>3</v>
      </c>
    </row>
    <row r="15218" spans="1:2" x14ac:dyDescent="0.2">
      <c r="A15218" t="str">
        <f>"SMYD3"</f>
        <v>SMYD3</v>
      </c>
      <c r="B15218" t="s">
        <v>8</v>
      </c>
    </row>
    <row r="15219" spans="1:2" x14ac:dyDescent="0.2">
      <c r="A15219" t="str">
        <f>"SMYD4"</f>
        <v>SMYD4</v>
      </c>
      <c r="B15219" t="s">
        <v>4</v>
      </c>
    </row>
    <row r="15220" spans="1:2" x14ac:dyDescent="0.2">
      <c r="A15220" t="str">
        <f>"SMYD5"</f>
        <v>SMYD5</v>
      </c>
      <c r="B15220" t="s">
        <v>4</v>
      </c>
    </row>
    <row r="15221" spans="1:2" x14ac:dyDescent="0.2">
      <c r="A15221" t="str">
        <f>"SNAI1"</f>
        <v>SNAI1</v>
      </c>
      <c r="B15221" t="s">
        <v>3</v>
      </c>
    </row>
    <row r="15222" spans="1:2" x14ac:dyDescent="0.2">
      <c r="A15222" t="str">
        <f>"SNAI2"</f>
        <v>SNAI2</v>
      </c>
      <c r="B15222" t="s">
        <v>3</v>
      </c>
    </row>
    <row r="15223" spans="1:2" x14ac:dyDescent="0.2">
      <c r="A15223" t="str">
        <f>"SNAI3"</f>
        <v>SNAI3</v>
      </c>
      <c r="B15223" t="s">
        <v>3</v>
      </c>
    </row>
    <row r="15224" spans="1:2" x14ac:dyDescent="0.2">
      <c r="A15224" t="str">
        <f>"SNAP23"</f>
        <v>SNAP23</v>
      </c>
      <c r="B15224" t="s">
        <v>7</v>
      </c>
    </row>
    <row r="15225" spans="1:2" x14ac:dyDescent="0.2">
      <c r="A15225" t="str">
        <f>"SNAP25"</f>
        <v>SNAP25</v>
      </c>
      <c r="B15225" t="s">
        <v>7</v>
      </c>
    </row>
    <row r="15226" spans="1:2" x14ac:dyDescent="0.2">
      <c r="A15226" t="str">
        <f>"SNAP29"</f>
        <v>SNAP29</v>
      </c>
      <c r="B15226" t="s">
        <v>6</v>
      </c>
    </row>
    <row r="15227" spans="1:2" x14ac:dyDescent="0.2">
      <c r="A15227" t="str">
        <f>"SNAP47"</f>
        <v>SNAP47</v>
      </c>
      <c r="B15227" t="s">
        <v>4</v>
      </c>
    </row>
    <row r="15228" spans="1:2" x14ac:dyDescent="0.2">
      <c r="A15228" t="str">
        <f>"SNAP91"</f>
        <v>SNAP91</v>
      </c>
      <c r="B15228" t="s">
        <v>4</v>
      </c>
    </row>
    <row r="15229" spans="1:2" x14ac:dyDescent="0.2">
      <c r="A15229" t="str">
        <f>"SNAPC1"</f>
        <v>SNAPC1</v>
      </c>
      <c r="B15229" t="s">
        <v>8</v>
      </c>
    </row>
    <row r="15230" spans="1:2" x14ac:dyDescent="0.2">
      <c r="A15230" t="str">
        <f>"SNAPC2"</f>
        <v>SNAPC2</v>
      </c>
      <c r="B15230" t="s">
        <v>8</v>
      </c>
    </row>
    <row r="15231" spans="1:2" x14ac:dyDescent="0.2">
      <c r="A15231" t="str">
        <f>"SNAPC3"</f>
        <v>SNAPC3</v>
      </c>
      <c r="B15231" t="s">
        <v>8</v>
      </c>
    </row>
    <row r="15232" spans="1:2" x14ac:dyDescent="0.2">
      <c r="A15232" t="str">
        <f>"SNAPC4"</f>
        <v>SNAPC4</v>
      </c>
      <c r="B15232" t="s">
        <v>8</v>
      </c>
    </row>
    <row r="15233" spans="1:2" x14ac:dyDescent="0.2">
      <c r="A15233" t="str">
        <f>"SNAPC5"</f>
        <v>SNAPC5</v>
      </c>
      <c r="B15233" t="s">
        <v>8</v>
      </c>
    </row>
    <row r="15234" spans="1:2" x14ac:dyDescent="0.2">
      <c r="A15234" t="str">
        <f>"SNAPIN"</f>
        <v>SNAPIN</v>
      </c>
      <c r="B15234" t="s">
        <v>2</v>
      </c>
    </row>
    <row r="15235" spans="1:2" x14ac:dyDescent="0.2">
      <c r="A15235" t="str">
        <f>"SNCA"</f>
        <v>SNCA</v>
      </c>
      <c r="B15235" t="s">
        <v>3</v>
      </c>
    </row>
    <row r="15236" spans="1:2" x14ac:dyDescent="0.2">
      <c r="A15236" t="str">
        <f>"SNCAIP"</f>
        <v>SNCAIP</v>
      </c>
      <c r="B15236" t="s">
        <v>4</v>
      </c>
    </row>
    <row r="15237" spans="1:2" x14ac:dyDescent="0.2">
      <c r="A15237" t="str">
        <f>"SNCB"</f>
        <v>SNCB</v>
      </c>
      <c r="B15237" t="s">
        <v>6</v>
      </c>
    </row>
    <row r="15238" spans="1:2" x14ac:dyDescent="0.2">
      <c r="A15238" t="str">
        <f>"SNCG"</f>
        <v>SNCG</v>
      </c>
      <c r="B15238" t="s">
        <v>3</v>
      </c>
    </row>
    <row r="15239" spans="1:2" x14ac:dyDescent="0.2">
      <c r="A15239" t="str">
        <f>"SND1"</f>
        <v>SND1</v>
      </c>
      <c r="B15239" t="s">
        <v>2</v>
      </c>
    </row>
    <row r="15240" spans="1:2" x14ac:dyDescent="0.2">
      <c r="A15240" t="str">
        <f>"SNED1"</f>
        <v>SNED1</v>
      </c>
      <c r="B15240" t="s">
        <v>4</v>
      </c>
    </row>
    <row r="15241" spans="1:2" x14ac:dyDescent="0.2">
      <c r="A15241" t="str">
        <f>"SNF8"</f>
        <v>SNF8</v>
      </c>
      <c r="B15241" t="s">
        <v>2</v>
      </c>
    </row>
    <row r="15242" spans="1:2" x14ac:dyDescent="0.2">
      <c r="A15242" t="str">
        <f>"SNIP1"</f>
        <v>SNIP1</v>
      </c>
      <c r="B15242" t="s">
        <v>8</v>
      </c>
    </row>
    <row r="15243" spans="1:2" x14ac:dyDescent="0.2">
      <c r="A15243" t="str">
        <f>"SNN"</f>
        <v>SNN</v>
      </c>
      <c r="B15243" t="s">
        <v>2</v>
      </c>
    </row>
    <row r="15244" spans="1:2" x14ac:dyDescent="0.2">
      <c r="A15244" t="str">
        <f>"SNPH"</f>
        <v>SNPH</v>
      </c>
      <c r="B15244" t="s">
        <v>6</v>
      </c>
    </row>
    <row r="15245" spans="1:2" x14ac:dyDescent="0.2">
      <c r="A15245" t="str">
        <f>"SNRK"</f>
        <v>SNRK</v>
      </c>
      <c r="B15245" t="s">
        <v>7</v>
      </c>
    </row>
    <row r="15246" spans="1:2" x14ac:dyDescent="0.2">
      <c r="A15246" t="str">
        <f>"SNRNP200"</f>
        <v>SNRNP200</v>
      </c>
      <c r="B15246" t="s">
        <v>2</v>
      </c>
    </row>
    <row r="15247" spans="1:2" x14ac:dyDescent="0.2">
      <c r="A15247" t="str">
        <f>"SNRNP25"</f>
        <v>SNRNP25</v>
      </c>
      <c r="B15247" t="s">
        <v>2</v>
      </c>
    </row>
    <row r="15248" spans="1:2" x14ac:dyDescent="0.2">
      <c r="A15248" t="str">
        <f>"SNRNP27"</f>
        <v>SNRNP27</v>
      </c>
      <c r="B15248" t="s">
        <v>8</v>
      </c>
    </row>
    <row r="15249" spans="1:2" x14ac:dyDescent="0.2">
      <c r="A15249" t="str">
        <f>"SNRNP35"</f>
        <v>SNRNP35</v>
      </c>
      <c r="B15249" t="s">
        <v>8</v>
      </c>
    </row>
    <row r="15250" spans="1:2" x14ac:dyDescent="0.2">
      <c r="A15250" t="str">
        <f>"SNRNP40"</f>
        <v>SNRNP40</v>
      </c>
      <c r="B15250" t="s">
        <v>8</v>
      </c>
    </row>
    <row r="15251" spans="1:2" x14ac:dyDescent="0.2">
      <c r="A15251" t="str">
        <f>"SNRNP48"</f>
        <v>SNRNP48</v>
      </c>
      <c r="B15251" t="s">
        <v>8</v>
      </c>
    </row>
    <row r="15252" spans="1:2" x14ac:dyDescent="0.2">
      <c r="A15252" t="str">
        <f>"SNRNP70"</f>
        <v>SNRNP70</v>
      </c>
      <c r="B15252" t="s">
        <v>8</v>
      </c>
    </row>
    <row r="15253" spans="1:2" x14ac:dyDescent="0.2">
      <c r="A15253" t="str">
        <f>"SNRPA"</f>
        <v>SNRPA</v>
      </c>
      <c r="B15253" t="s">
        <v>7</v>
      </c>
    </row>
    <row r="15254" spans="1:2" x14ac:dyDescent="0.2">
      <c r="A15254" t="str">
        <f>"SNRPA1"</f>
        <v>SNRPA1</v>
      </c>
      <c r="B15254" t="s">
        <v>8</v>
      </c>
    </row>
    <row r="15255" spans="1:2" x14ac:dyDescent="0.2">
      <c r="A15255" t="str">
        <f>"SNRPB"</f>
        <v>SNRPB</v>
      </c>
      <c r="B15255" t="s">
        <v>8</v>
      </c>
    </row>
    <row r="15256" spans="1:2" x14ac:dyDescent="0.2">
      <c r="A15256" t="str">
        <f>"SNRPB2"</f>
        <v>SNRPB2</v>
      </c>
      <c r="B15256" t="s">
        <v>8</v>
      </c>
    </row>
    <row r="15257" spans="1:2" x14ac:dyDescent="0.2">
      <c r="A15257" t="str">
        <f>"SNRPC"</f>
        <v>SNRPC</v>
      </c>
      <c r="B15257" t="s">
        <v>3</v>
      </c>
    </row>
    <row r="15258" spans="1:2" x14ac:dyDescent="0.2">
      <c r="A15258" t="str">
        <f>"SNRPD1"</f>
        <v>SNRPD1</v>
      </c>
      <c r="B15258" t="s">
        <v>8</v>
      </c>
    </row>
    <row r="15259" spans="1:2" x14ac:dyDescent="0.2">
      <c r="A15259" t="str">
        <f>"SNRPD2"</f>
        <v>SNRPD2</v>
      </c>
      <c r="B15259" t="s">
        <v>6</v>
      </c>
    </row>
    <row r="15260" spans="1:2" x14ac:dyDescent="0.2">
      <c r="A15260" t="str">
        <f>"SNRPD3"</f>
        <v>SNRPD3</v>
      </c>
      <c r="B15260" t="s">
        <v>6</v>
      </c>
    </row>
    <row r="15261" spans="1:2" x14ac:dyDescent="0.2">
      <c r="A15261" t="str">
        <f>"SNRPE"</f>
        <v>SNRPE</v>
      </c>
      <c r="B15261" t="s">
        <v>6</v>
      </c>
    </row>
    <row r="15262" spans="1:2" x14ac:dyDescent="0.2">
      <c r="A15262" t="str">
        <f>"SNRPF"</f>
        <v>SNRPF</v>
      </c>
      <c r="B15262" t="s">
        <v>8</v>
      </c>
    </row>
    <row r="15263" spans="1:2" x14ac:dyDescent="0.2">
      <c r="A15263" t="str">
        <f>"SNRPG"</f>
        <v>SNRPG</v>
      </c>
      <c r="B15263" t="s">
        <v>8</v>
      </c>
    </row>
    <row r="15264" spans="1:2" x14ac:dyDescent="0.2">
      <c r="A15264" t="str">
        <f>"SNRPN"</f>
        <v>SNRPN</v>
      </c>
      <c r="B15264" t="s">
        <v>8</v>
      </c>
    </row>
    <row r="15265" spans="1:2" x14ac:dyDescent="0.2">
      <c r="A15265" t="str">
        <f>"SNTA1"</f>
        <v>SNTA1</v>
      </c>
      <c r="B15265" t="s">
        <v>6</v>
      </c>
    </row>
    <row r="15266" spans="1:2" x14ac:dyDescent="0.2">
      <c r="A15266" t="str">
        <f>"SNTB1"</f>
        <v>SNTB1</v>
      </c>
      <c r="B15266" t="s">
        <v>6</v>
      </c>
    </row>
    <row r="15267" spans="1:2" x14ac:dyDescent="0.2">
      <c r="A15267" t="str">
        <f>"SNTB2"</f>
        <v>SNTB2</v>
      </c>
      <c r="B15267" t="s">
        <v>6</v>
      </c>
    </row>
    <row r="15268" spans="1:2" x14ac:dyDescent="0.2">
      <c r="A15268" t="str">
        <f>"SNTG1"</f>
        <v>SNTG1</v>
      </c>
      <c r="B15268" t="s">
        <v>6</v>
      </c>
    </row>
    <row r="15269" spans="1:2" x14ac:dyDescent="0.2">
      <c r="A15269" t="str">
        <f>"SNTG2"</f>
        <v>SNTG2</v>
      </c>
      <c r="B15269" t="s">
        <v>6</v>
      </c>
    </row>
    <row r="15270" spans="1:2" x14ac:dyDescent="0.2">
      <c r="A15270" t="str">
        <f>"SNTN"</f>
        <v>SNTN</v>
      </c>
      <c r="B15270" t="s">
        <v>4</v>
      </c>
    </row>
    <row r="15271" spans="1:2" x14ac:dyDescent="0.2">
      <c r="A15271" t="str">
        <f>"SNUPN"</f>
        <v>SNUPN</v>
      </c>
      <c r="B15271" t="s">
        <v>6</v>
      </c>
    </row>
    <row r="15272" spans="1:2" x14ac:dyDescent="0.2">
      <c r="A15272" t="str">
        <f>"SNURF"</f>
        <v>SNURF</v>
      </c>
      <c r="B15272" t="s">
        <v>4</v>
      </c>
    </row>
    <row r="15273" spans="1:2" x14ac:dyDescent="0.2">
      <c r="A15273" t="str">
        <f>"SNW1"</f>
        <v>SNW1</v>
      </c>
      <c r="B15273" t="s">
        <v>3</v>
      </c>
    </row>
    <row r="15274" spans="1:2" x14ac:dyDescent="0.2">
      <c r="A15274" t="str">
        <f>"SNX1"</f>
        <v>SNX1</v>
      </c>
      <c r="B15274" t="s">
        <v>2</v>
      </c>
    </row>
    <row r="15275" spans="1:2" x14ac:dyDescent="0.2">
      <c r="A15275" t="str">
        <f>"SNX10"</f>
        <v>SNX10</v>
      </c>
      <c r="B15275" t="s">
        <v>2</v>
      </c>
    </row>
    <row r="15276" spans="1:2" x14ac:dyDescent="0.2">
      <c r="A15276" t="str">
        <f>"SNX11"</f>
        <v>SNX11</v>
      </c>
      <c r="B15276" t="s">
        <v>4</v>
      </c>
    </row>
    <row r="15277" spans="1:2" x14ac:dyDescent="0.2">
      <c r="A15277" t="str">
        <f>"SNX12"</f>
        <v>SNX12</v>
      </c>
      <c r="B15277" t="s">
        <v>2</v>
      </c>
    </row>
    <row r="15278" spans="1:2" x14ac:dyDescent="0.2">
      <c r="A15278" t="str">
        <f>"SNX13"</f>
        <v>SNX13</v>
      </c>
      <c r="B15278" t="s">
        <v>2</v>
      </c>
    </row>
    <row r="15279" spans="1:2" x14ac:dyDescent="0.2">
      <c r="A15279" t="str">
        <f>"SNX14"</f>
        <v>SNX14</v>
      </c>
      <c r="B15279" t="s">
        <v>5</v>
      </c>
    </row>
    <row r="15280" spans="1:2" x14ac:dyDescent="0.2">
      <c r="A15280" t="str">
        <f>"SNX15"</f>
        <v>SNX15</v>
      </c>
      <c r="B15280" t="s">
        <v>2</v>
      </c>
    </row>
    <row r="15281" spans="1:2" x14ac:dyDescent="0.2">
      <c r="A15281" t="str">
        <f>"SNX16"</f>
        <v>SNX16</v>
      </c>
      <c r="B15281" t="s">
        <v>6</v>
      </c>
    </row>
    <row r="15282" spans="1:2" x14ac:dyDescent="0.2">
      <c r="A15282" t="str">
        <f>"SNX17"</f>
        <v>SNX17</v>
      </c>
      <c r="B15282" t="s">
        <v>2</v>
      </c>
    </row>
    <row r="15283" spans="1:2" x14ac:dyDescent="0.2">
      <c r="A15283" t="str">
        <f>"SNX18"</f>
        <v>SNX18</v>
      </c>
      <c r="B15283" t="s">
        <v>2</v>
      </c>
    </row>
    <row r="15284" spans="1:2" x14ac:dyDescent="0.2">
      <c r="A15284" t="str">
        <f>"SNX19"</f>
        <v>SNX19</v>
      </c>
      <c r="B15284" t="s">
        <v>2</v>
      </c>
    </row>
    <row r="15285" spans="1:2" x14ac:dyDescent="0.2">
      <c r="A15285" t="str">
        <f>"SNX2"</f>
        <v>SNX2</v>
      </c>
      <c r="B15285" t="s">
        <v>6</v>
      </c>
    </row>
    <row r="15286" spans="1:2" x14ac:dyDescent="0.2">
      <c r="A15286" t="str">
        <f>"SNX20"</f>
        <v>SNX20</v>
      </c>
      <c r="B15286" t="s">
        <v>2</v>
      </c>
    </row>
    <row r="15287" spans="1:2" x14ac:dyDescent="0.2">
      <c r="A15287" t="str">
        <f>"SNX21"</f>
        <v>SNX21</v>
      </c>
      <c r="B15287" t="s">
        <v>4</v>
      </c>
    </row>
    <row r="15288" spans="1:2" x14ac:dyDescent="0.2">
      <c r="A15288" t="str">
        <f>"SNX22"</f>
        <v>SNX22</v>
      </c>
      <c r="B15288" t="s">
        <v>4</v>
      </c>
    </row>
    <row r="15289" spans="1:2" x14ac:dyDescent="0.2">
      <c r="A15289" t="str">
        <f>"SNX24"</f>
        <v>SNX24</v>
      </c>
      <c r="B15289" t="s">
        <v>2</v>
      </c>
    </row>
    <row r="15290" spans="1:2" x14ac:dyDescent="0.2">
      <c r="A15290" t="str">
        <f>"SNX25"</f>
        <v>SNX25</v>
      </c>
      <c r="B15290" t="s">
        <v>4</v>
      </c>
    </row>
    <row r="15291" spans="1:2" x14ac:dyDescent="0.2">
      <c r="A15291" t="str">
        <f>"SNX27"</f>
        <v>SNX27</v>
      </c>
      <c r="B15291" t="s">
        <v>6</v>
      </c>
    </row>
    <row r="15292" spans="1:2" x14ac:dyDescent="0.2">
      <c r="A15292" t="str">
        <f>"SNX29"</f>
        <v>SNX29</v>
      </c>
      <c r="B15292" t="s">
        <v>5</v>
      </c>
    </row>
    <row r="15293" spans="1:2" x14ac:dyDescent="0.2">
      <c r="A15293" t="str">
        <f>"SNX3"</f>
        <v>SNX3</v>
      </c>
      <c r="B15293" t="s">
        <v>7</v>
      </c>
    </row>
    <row r="15294" spans="1:2" x14ac:dyDescent="0.2">
      <c r="A15294" t="str">
        <f>"SNX30"</f>
        <v>SNX30</v>
      </c>
      <c r="B15294" t="s">
        <v>2</v>
      </c>
    </row>
    <row r="15295" spans="1:2" x14ac:dyDescent="0.2">
      <c r="A15295" t="str">
        <f>"SNX31"</f>
        <v>SNX31</v>
      </c>
      <c r="B15295" t="s">
        <v>2</v>
      </c>
    </row>
    <row r="15296" spans="1:2" x14ac:dyDescent="0.2">
      <c r="A15296" t="str">
        <f>"SNX32"</f>
        <v>SNX32</v>
      </c>
      <c r="B15296" t="s">
        <v>2</v>
      </c>
    </row>
    <row r="15297" spans="1:2" x14ac:dyDescent="0.2">
      <c r="A15297" t="str">
        <f>"SNX33"</f>
        <v>SNX33</v>
      </c>
      <c r="B15297" t="s">
        <v>2</v>
      </c>
    </row>
    <row r="15298" spans="1:2" x14ac:dyDescent="0.2">
      <c r="A15298" t="str">
        <f>"SNX4"</f>
        <v>SNX4</v>
      </c>
      <c r="B15298" t="s">
        <v>6</v>
      </c>
    </row>
    <row r="15299" spans="1:2" x14ac:dyDescent="0.2">
      <c r="A15299" t="str">
        <f>"SNX5"</f>
        <v>SNX5</v>
      </c>
      <c r="B15299" t="s">
        <v>2</v>
      </c>
    </row>
    <row r="15300" spans="1:2" x14ac:dyDescent="0.2">
      <c r="A15300" t="str">
        <f>"SNX6"</f>
        <v>SNX6</v>
      </c>
      <c r="B15300" t="s">
        <v>4</v>
      </c>
    </row>
    <row r="15301" spans="1:2" x14ac:dyDescent="0.2">
      <c r="A15301" t="str">
        <f>"SNX7"</f>
        <v>SNX7</v>
      </c>
      <c r="B15301" t="s">
        <v>4</v>
      </c>
    </row>
    <row r="15302" spans="1:2" x14ac:dyDescent="0.2">
      <c r="A15302" t="str">
        <f>"SNX8"</f>
        <v>SNX8</v>
      </c>
      <c r="B15302" t="s">
        <v>2</v>
      </c>
    </row>
    <row r="15303" spans="1:2" x14ac:dyDescent="0.2">
      <c r="A15303" t="str">
        <f>"SNX9"</f>
        <v>SNX9</v>
      </c>
      <c r="B15303" t="s">
        <v>6</v>
      </c>
    </row>
    <row r="15304" spans="1:2" x14ac:dyDescent="0.2">
      <c r="A15304" t="str">
        <f>"SOAT1"</f>
        <v>SOAT1</v>
      </c>
      <c r="B15304" t="s">
        <v>7</v>
      </c>
    </row>
    <row r="15305" spans="1:2" x14ac:dyDescent="0.2">
      <c r="A15305" t="str">
        <f>"SOAT2"</f>
        <v>SOAT2</v>
      </c>
      <c r="B15305" t="s">
        <v>7</v>
      </c>
    </row>
    <row r="15306" spans="1:2" x14ac:dyDescent="0.2">
      <c r="A15306" t="str">
        <f>"SOBP"</f>
        <v>SOBP</v>
      </c>
      <c r="B15306" t="s">
        <v>4</v>
      </c>
    </row>
    <row r="15307" spans="1:2" x14ac:dyDescent="0.2">
      <c r="A15307" t="str">
        <f>"SOCS1"</f>
        <v>SOCS1</v>
      </c>
      <c r="B15307" t="s">
        <v>3</v>
      </c>
    </row>
    <row r="15308" spans="1:2" x14ac:dyDescent="0.2">
      <c r="A15308" t="str">
        <f>"SOCS2"</f>
        <v>SOCS2</v>
      </c>
      <c r="B15308" t="s">
        <v>3</v>
      </c>
    </row>
    <row r="15309" spans="1:2" x14ac:dyDescent="0.2">
      <c r="A15309" t="str">
        <f>"SOCS3"</f>
        <v>SOCS3</v>
      </c>
      <c r="B15309" t="s">
        <v>2</v>
      </c>
    </row>
    <row r="15310" spans="1:2" x14ac:dyDescent="0.2">
      <c r="A15310" t="str">
        <f>"SOCS4"</f>
        <v>SOCS4</v>
      </c>
      <c r="B15310" t="s">
        <v>2</v>
      </c>
    </row>
    <row r="15311" spans="1:2" x14ac:dyDescent="0.2">
      <c r="A15311" t="str">
        <f>"SOCS5"</f>
        <v>SOCS5</v>
      </c>
      <c r="B15311" t="s">
        <v>2</v>
      </c>
    </row>
    <row r="15312" spans="1:2" x14ac:dyDescent="0.2">
      <c r="A15312" t="str">
        <f>"SOCS6"</f>
        <v>SOCS6</v>
      </c>
      <c r="B15312" t="s">
        <v>2</v>
      </c>
    </row>
    <row r="15313" spans="1:2" x14ac:dyDescent="0.2">
      <c r="A15313" t="str">
        <f>"SOCS7"</f>
        <v>SOCS7</v>
      </c>
      <c r="B15313" t="s">
        <v>2</v>
      </c>
    </row>
    <row r="15314" spans="1:2" x14ac:dyDescent="0.2">
      <c r="A15314" t="str">
        <f>"SOD1"</f>
        <v>SOD1</v>
      </c>
      <c r="B15314" t="s">
        <v>7</v>
      </c>
    </row>
    <row r="15315" spans="1:2" x14ac:dyDescent="0.2">
      <c r="A15315" t="str">
        <f>"SOD2"</f>
        <v>SOD2</v>
      </c>
      <c r="B15315" t="s">
        <v>3</v>
      </c>
    </row>
    <row r="15316" spans="1:2" x14ac:dyDescent="0.2">
      <c r="A15316" t="str">
        <f>"SOD3"</f>
        <v>SOD3</v>
      </c>
      <c r="B15316" t="s">
        <v>6</v>
      </c>
    </row>
    <row r="15317" spans="1:2" x14ac:dyDescent="0.2">
      <c r="A15317" t="str">
        <f>"SOGA1"</f>
        <v>SOGA1</v>
      </c>
      <c r="B15317" t="s">
        <v>4</v>
      </c>
    </row>
    <row r="15318" spans="1:2" x14ac:dyDescent="0.2">
      <c r="A15318" t="str">
        <f>"SOGA2"</f>
        <v>SOGA2</v>
      </c>
      <c r="B15318" t="s">
        <v>4</v>
      </c>
    </row>
    <row r="15319" spans="1:2" x14ac:dyDescent="0.2">
      <c r="A15319" t="str">
        <f>"SOGA3"</f>
        <v>SOGA3</v>
      </c>
      <c r="B15319" t="s">
        <v>5</v>
      </c>
    </row>
    <row r="15320" spans="1:2" x14ac:dyDescent="0.2">
      <c r="A15320" t="str">
        <f>"SOHLH1"</f>
        <v>SOHLH1</v>
      </c>
      <c r="B15320" t="s">
        <v>8</v>
      </c>
    </row>
    <row r="15321" spans="1:2" x14ac:dyDescent="0.2">
      <c r="A15321" t="str">
        <f>"SOHLH2"</f>
        <v>SOHLH2</v>
      </c>
      <c r="B15321" t="s">
        <v>8</v>
      </c>
    </row>
    <row r="15322" spans="1:2" x14ac:dyDescent="0.2">
      <c r="A15322" t="str">
        <f>"SON"</f>
        <v>SON</v>
      </c>
      <c r="B15322" t="s">
        <v>3</v>
      </c>
    </row>
    <row r="15323" spans="1:2" x14ac:dyDescent="0.2">
      <c r="A15323" t="str">
        <f>"SORBS1"</f>
        <v>SORBS1</v>
      </c>
      <c r="B15323" t="s">
        <v>2</v>
      </c>
    </row>
    <row r="15324" spans="1:2" x14ac:dyDescent="0.2">
      <c r="A15324" t="str">
        <f>"SORBS2"</f>
        <v>SORBS2</v>
      </c>
      <c r="B15324" t="s">
        <v>8</v>
      </c>
    </row>
    <row r="15325" spans="1:2" x14ac:dyDescent="0.2">
      <c r="A15325" t="str">
        <f>"SORBS3"</f>
        <v>SORBS3</v>
      </c>
      <c r="B15325" t="s">
        <v>8</v>
      </c>
    </row>
    <row r="15326" spans="1:2" x14ac:dyDescent="0.2">
      <c r="A15326" t="str">
        <f>"SORCS1"</f>
        <v>SORCS1</v>
      </c>
      <c r="B15326" t="s">
        <v>5</v>
      </c>
    </row>
    <row r="15327" spans="1:2" x14ac:dyDescent="0.2">
      <c r="A15327" t="str">
        <f>"SORCS2"</f>
        <v>SORCS2</v>
      </c>
      <c r="B15327" t="s">
        <v>5</v>
      </c>
    </row>
    <row r="15328" spans="1:2" x14ac:dyDescent="0.2">
      <c r="A15328" t="str">
        <f>"SORCS3"</f>
        <v>SORCS3</v>
      </c>
      <c r="B15328" t="s">
        <v>7</v>
      </c>
    </row>
    <row r="15329" spans="1:2" x14ac:dyDescent="0.2">
      <c r="A15329" t="str">
        <f>"SORD"</f>
        <v>SORD</v>
      </c>
      <c r="B15329" t="s">
        <v>7</v>
      </c>
    </row>
    <row r="15330" spans="1:2" x14ac:dyDescent="0.2">
      <c r="A15330" t="str">
        <f>"SORL1"</f>
        <v>SORL1</v>
      </c>
      <c r="B15330" t="s">
        <v>6</v>
      </c>
    </row>
    <row r="15331" spans="1:2" x14ac:dyDescent="0.2">
      <c r="A15331" t="str">
        <f>"SORT1"</f>
        <v>SORT1</v>
      </c>
      <c r="B15331" t="s">
        <v>2</v>
      </c>
    </row>
    <row r="15332" spans="1:2" x14ac:dyDescent="0.2">
      <c r="A15332" t="str">
        <f>"SOS1"</f>
        <v>SOS1</v>
      </c>
      <c r="B15332" t="s">
        <v>3</v>
      </c>
    </row>
    <row r="15333" spans="1:2" x14ac:dyDescent="0.2">
      <c r="A15333" t="str">
        <f>"SOS2"</f>
        <v>SOS2</v>
      </c>
      <c r="B15333" t="s">
        <v>8</v>
      </c>
    </row>
    <row r="15334" spans="1:2" x14ac:dyDescent="0.2">
      <c r="A15334" t="str">
        <f>"SOST"</f>
        <v>SOST</v>
      </c>
      <c r="B15334" t="s">
        <v>4</v>
      </c>
    </row>
    <row r="15335" spans="1:2" x14ac:dyDescent="0.2">
      <c r="A15335" t="str">
        <f>"SOSTDC1"</f>
        <v>SOSTDC1</v>
      </c>
      <c r="B15335" t="s">
        <v>4</v>
      </c>
    </row>
    <row r="15336" spans="1:2" x14ac:dyDescent="0.2">
      <c r="A15336" t="str">
        <f>"SOWAHA"</f>
        <v>SOWAHA</v>
      </c>
      <c r="B15336" t="s">
        <v>3</v>
      </c>
    </row>
    <row r="15337" spans="1:2" x14ac:dyDescent="0.2">
      <c r="A15337" t="str">
        <f>"SOWAHB"</f>
        <v>SOWAHB</v>
      </c>
      <c r="B15337" t="s">
        <v>8</v>
      </c>
    </row>
    <row r="15338" spans="1:2" x14ac:dyDescent="0.2">
      <c r="A15338" t="str">
        <f>"SOWAHC"</f>
        <v>SOWAHC</v>
      </c>
      <c r="B15338" t="s">
        <v>4</v>
      </c>
    </row>
    <row r="15339" spans="1:2" x14ac:dyDescent="0.2">
      <c r="A15339" t="str">
        <f>"SOWAHD"</f>
        <v>SOWAHD</v>
      </c>
      <c r="B15339" t="s">
        <v>8</v>
      </c>
    </row>
    <row r="15340" spans="1:2" x14ac:dyDescent="0.2">
      <c r="A15340" t="str">
        <f>"SOX1"</f>
        <v>SOX1</v>
      </c>
      <c r="B15340" t="s">
        <v>2</v>
      </c>
    </row>
    <row r="15341" spans="1:2" x14ac:dyDescent="0.2">
      <c r="A15341" t="str">
        <f>"SOX10"</f>
        <v>SOX10</v>
      </c>
      <c r="B15341" t="s">
        <v>6</v>
      </c>
    </row>
    <row r="15342" spans="1:2" x14ac:dyDescent="0.2">
      <c r="A15342" t="str">
        <f>"SOX11"</f>
        <v>SOX11</v>
      </c>
      <c r="B15342" t="s">
        <v>3</v>
      </c>
    </row>
    <row r="15343" spans="1:2" x14ac:dyDescent="0.2">
      <c r="A15343" t="str">
        <f>"SOX12"</f>
        <v>SOX12</v>
      </c>
      <c r="B15343" t="s">
        <v>8</v>
      </c>
    </row>
    <row r="15344" spans="1:2" x14ac:dyDescent="0.2">
      <c r="A15344" t="str">
        <f>"SOX13"</f>
        <v>SOX13</v>
      </c>
      <c r="B15344" t="s">
        <v>8</v>
      </c>
    </row>
    <row r="15345" spans="1:2" x14ac:dyDescent="0.2">
      <c r="A15345" t="str">
        <f>"SOX14"</f>
        <v>SOX14</v>
      </c>
      <c r="B15345" t="s">
        <v>8</v>
      </c>
    </row>
    <row r="15346" spans="1:2" x14ac:dyDescent="0.2">
      <c r="A15346" t="str">
        <f>"SOX15"</f>
        <v>SOX15</v>
      </c>
      <c r="B15346" t="s">
        <v>6</v>
      </c>
    </row>
    <row r="15347" spans="1:2" x14ac:dyDescent="0.2">
      <c r="A15347" t="str">
        <f>"SOX17"</f>
        <v>SOX17</v>
      </c>
      <c r="B15347" t="s">
        <v>8</v>
      </c>
    </row>
    <row r="15348" spans="1:2" x14ac:dyDescent="0.2">
      <c r="A15348" t="str">
        <f>"SOX18"</f>
        <v>SOX18</v>
      </c>
      <c r="B15348" t="s">
        <v>8</v>
      </c>
    </row>
    <row r="15349" spans="1:2" x14ac:dyDescent="0.2">
      <c r="A15349" t="str">
        <f>"SOX2"</f>
        <v>SOX2</v>
      </c>
      <c r="B15349" t="s">
        <v>3</v>
      </c>
    </row>
    <row r="15350" spans="1:2" x14ac:dyDescent="0.2">
      <c r="A15350" t="str">
        <f>"SOX21"</f>
        <v>SOX21</v>
      </c>
      <c r="B15350" t="s">
        <v>2</v>
      </c>
    </row>
    <row r="15351" spans="1:2" x14ac:dyDescent="0.2">
      <c r="A15351" t="str">
        <f>"SOX3"</f>
        <v>SOX3</v>
      </c>
      <c r="B15351" t="s">
        <v>8</v>
      </c>
    </row>
    <row r="15352" spans="1:2" x14ac:dyDescent="0.2">
      <c r="A15352" t="str">
        <f>"SOX30"</f>
        <v>SOX30</v>
      </c>
      <c r="B15352" t="s">
        <v>8</v>
      </c>
    </row>
    <row r="15353" spans="1:2" x14ac:dyDescent="0.2">
      <c r="A15353" t="str">
        <f>"SOX4"</f>
        <v>SOX4</v>
      </c>
      <c r="B15353" t="s">
        <v>6</v>
      </c>
    </row>
    <row r="15354" spans="1:2" x14ac:dyDescent="0.2">
      <c r="A15354" t="str">
        <f>"SOX5"</f>
        <v>SOX5</v>
      </c>
      <c r="B15354" t="s">
        <v>8</v>
      </c>
    </row>
    <row r="15355" spans="1:2" x14ac:dyDescent="0.2">
      <c r="A15355" t="str">
        <f>"SOX6"</f>
        <v>SOX6</v>
      </c>
      <c r="B15355" t="s">
        <v>8</v>
      </c>
    </row>
    <row r="15356" spans="1:2" x14ac:dyDescent="0.2">
      <c r="A15356" t="str">
        <f>"SOX7"</f>
        <v>SOX7</v>
      </c>
      <c r="B15356" t="s">
        <v>8</v>
      </c>
    </row>
    <row r="15357" spans="1:2" x14ac:dyDescent="0.2">
      <c r="A15357" t="str">
        <f>"SOX8"</f>
        <v>SOX8</v>
      </c>
      <c r="B15357" t="s">
        <v>8</v>
      </c>
    </row>
    <row r="15358" spans="1:2" x14ac:dyDescent="0.2">
      <c r="A15358" t="str">
        <f>"SOX9"</f>
        <v>SOX9</v>
      </c>
      <c r="B15358" t="s">
        <v>6</v>
      </c>
    </row>
    <row r="15359" spans="1:2" x14ac:dyDescent="0.2">
      <c r="A15359" t="str">
        <f>"SP1"</f>
        <v>SP1</v>
      </c>
      <c r="B15359" t="s">
        <v>3</v>
      </c>
    </row>
    <row r="15360" spans="1:2" x14ac:dyDescent="0.2">
      <c r="A15360" t="str">
        <f>"SP100"</f>
        <v>SP100</v>
      </c>
      <c r="B15360" t="s">
        <v>8</v>
      </c>
    </row>
    <row r="15361" spans="1:2" x14ac:dyDescent="0.2">
      <c r="A15361" t="str">
        <f>"SP110"</f>
        <v>SP110</v>
      </c>
      <c r="B15361" t="s">
        <v>8</v>
      </c>
    </row>
    <row r="15362" spans="1:2" x14ac:dyDescent="0.2">
      <c r="A15362" t="str">
        <f>"SP140"</f>
        <v>SP140</v>
      </c>
      <c r="B15362" t="s">
        <v>8</v>
      </c>
    </row>
    <row r="15363" spans="1:2" x14ac:dyDescent="0.2">
      <c r="A15363" t="str">
        <f>"SP140L"</f>
        <v>SP140L</v>
      </c>
      <c r="B15363" t="s">
        <v>8</v>
      </c>
    </row>
    <row r="15364" spans="1:2" x14ac:dyDescent="0.2">
      <c r="A15364" t="str">
        <f>"SP2"</f>
        <v>SP2</v>
      </c>
      <c r="B15364" t="s">
        <v>8</v>
      </c>
    </row>
    <row r="15365" spans="1:2" x14ac:dyDescent="0.2">
      <c r="A15365" t="str">
        <f>"SP3"</f>
        <v>SP3</v>
      </c>
      <c r="B15365" t="s">
        <v>6</v>
      </c>
    </row>
    <row r="15366" spans="1:2" x14ac:dyDescent="0.2">
      <c r="A15366" t="str">
        <f>"SP4"</f>
        <v>SP4</v>
      </c>
      <c r="B15366" t="s">
        <v>8</v>
      </c>
    </row>
    <row r="15367" spans="1:2" x14ac:dyDescent="0.2">
      <c r="A15367" t="str">
        <f>"SP5"</f>
        <v>SP5</v>
      </c>
      <c r="B15367" t="s">
        <v>8</v>
      </c>
    </row>
    <row r="15368" spans="1:2" x14ac:dyDescent="0.2">
      <c r="A15368" t="str">
        <f>"SP6"</f>
        <v>SP6</v>
      </c>
      <c r="B15368" t="s">
        <v>8</v>
      </c>
    </row>
    <row r="15369" spans="1:2" x14ac:dyDescent="0.2">
      <c r="A15369" t="str">
        <f>"SP7"</f>
        <v>SP7</v>
      </c>
      <c r="B15369" t="s">
        <v>8</v>
      </c>
    </row>
    <row r="15370" spans="1:2" x14ac:dyDescent="0.2">
      <c r="A15370" t="str">
        <f>"SP8"</f>
        <v>SP8</v>
      </c>
      <c r="B15370" t="s">
        <v>8</v>
      </c>
    </row>
    <row r="15371" spans="1:2" x14ac:dyDescent="0.2">
      <c r="A15371" t="str">
        <f>"SP9"</f>
        <v>SP9</v>
      </c>
      <c r="B15371" t="s">
        <v>4</v>
      </c>
    </row>
    <row r="15372" spans="1:2" x14ac:dyDescent="0.2">
      <c r="A15372" t="str">
        <f>"SPA17"</f>
        <v>SPA17</v>
      </c>
      <c r="B15372" t="s">
        <v>3</v>
      </c>
    </row>
    <row r="15373" spans="1:2" x14ac:dyDescent="0.2">
      <c r="A15373" t="str">
        <f>"SPACA1"</f>
        <v>SPACA1</v>
      </c>
      <c r="B15373" t="s">
        <v>5</v>
      </c>
    </row>
    <row r="15374" spans="1:2" x14ac:dyDescent="0.2">
      <c r="A15374" t="str">
        <f>"SPACA3"</f>
        <v>SPACA3</v>
      </c>
      <c r="B15374" t="s">
        <v>2</v>
      </c>
    </row>
    <row r="15375" spans="1:2" x14ac:dyDescent="0.2">
      <c r="A15375" t="str">
        <f>"SPACA4"</f>
        <v>SPACA4</v>
      </c>
      <c r="B15375" t="s">
        <v>4</v>
      </c>
    </row>
    <row r="15376" spans="1:2" x14ac:dyDescent="0.2">
      <c r="A15376" t="str">
        <f>"SPACA5"</f>
        <v>SPACA5</v>
      </c>
      <c r="B15376" t="s">
        <v>4</v>
      </c>
    </row>
    <row r="15377" spans="1:2" x14ac:dyDescent="0.2">
      <c r="A15377" t="str">
        <f>"SPACA5B"</f>
        <v>SPACA5B</v>
      </c>
      <c r="B15377" t="s">
        <v>4</v>
      </c>
    </row>
    <row r="15378" spans="1:2" x14ac:dyDescent="0.2">
      <c r="A15378" t="str">
        <f>"SPACA7"</f>
        <v>SPACA7</v>
      </c>
      <c r="B15378" t="s">
        <v>4</v>
      </c>
    </row>
    <row r="15379" spans="1:2" x14ac:dyDescent="0.2">
      <c r="A15379" t="str">
        <f>"SPAG1"</f>
        <v>SPAG1</v>
      </c>
      <c r="B15379" t="s">
        <v>4</v>
      </c>
    </row>
    <row r="15380" spans="1:2" x14ac:dyDescent="0.2">
      <c r="A15380" t="str">
        <f>"SPAG11A"</f>
        <v>SPAG11A</v>
      </c>
      <c r="B15380" t="s">
        <v>4</v>
      </c>
    </row>
    <row r="15381" spans="1:2" x14ac:dyDescent="0.2">
      <c r="A15381" t="str">
        <f>"SPAG11B"</f>
        <v>SPAG11B</v>
      </c>
      <c r="B15381" t="s">
        <v>5</v>
      </c>
    </row>
    <row r="15382" spans="1:2" x14ac:dyDescent="0.2">
      <c r="A15382" t="str">
        <f>"SPAG16"</f>
        <v>SPAG16</v>
      </c>
      <c r="B15382" t="s">
        <v>4</v>
      </c>
    </row>
    <row r="15383" spans="1:2" x14ac:dyDescent="0.2">
      <c r="A15383" t="str">
        <f>"SPAG17"</f>
        <v>SPAG17</v>
      </c>
      <c r="B15383" t="s">
        <v>4</v>
      </c>
    </row>
    <row r="15384" spans="1:2" x14ac:dyDescent="0.2">
      <c r="A15384" t="str">
        <f>"SPAG4"</f>
        <v>SPAG4</v>
      </c>
      <c r="B15384" t="s">
        <v>6</v>
      </c>
    </row>
    <row r="15385" spans="1:2" x14ac:dyDescent="0.2">
      <c r="A15385" t="str">
        <f>"SPAG5"</f>
        <v>SPAG5</v>
      </c>
      <c r="B15385" t="s">
        <v>3</v>
      </c>
    </row>
    <row r="15386" spans="1:2" x14ac:dyDescent="0.2">
      <c r="A15386" t="str">
        <f>"SPAG6"</f>
        <v>SPAG6</v>
      </c>
      <c r="B15386" t="s">
        <v>6</v>
      </c>
    </row>
    <row r="15387" spans="1:2" x14ac:dyDescent="0.2">
      <c r="A15387" t="str">
        <f>"SPAG7"</f>
        <v>SPAG7</v>
      </c>
      <c r="B15387" t="s">
        <v>4</v>
      </c>
    </row>
    <row r="15388" spans="1:2" x14ac:dyDescent="0.2">
      <c r="A15388" t="str">
        <f>"SPAG8"</f>
        <v>SPAG8</v>
      </c>
      <c r="B15388" t="s">
        <v>4</v>
      </c>
    </row>
    <row r="15389" spans="1:2" x14ac:dyDescent="0.2">
      <c r="A15389" t="str">
        <f>"SPAG9"</f>
        <v>SPAG9</v>
      </c>
      <c r="B15389" t="s">
        <v>6</v>
      </c>
    </row>
    <row r="15390" spans="1:2" x14ac:dyDescent="0.2">
      <c r="A15390" t="str">
        <f>"SPAM1"</f>
        <v>SPAM1</v>
      </c>
      <c r="B15390" t="s">
        <v>5</v>
      </c>
    </row>
    <row r="15391" spans="1:2" x14ac:dyDescent="0.2">
      <c r="A15391" t="str">
        <f>"SPANXB1"</f>
        <v>SPANXB1</v>
      </c>
      <c r="B15391" t="s">
        <v>4</v>
      </c>
    </row>
    <row r="15392" spans="1:2" x14ac:dyDescent="0.2">
      <c r="A15392" t="str">
        <f>"SPANXC"</f>
        <v>SPANXC</v>
      </c>
      <c r="B15392" t="s">
        <v>4</v>
      </c>
    </row>
    <row r="15393" spans="1:2" x14ac:dyDescent="0.2">
      <c r="A15393" t="str">
        <f>"SPANXF1"</f>
        <v>SPANXF1</v>
      </c>
      <c r="B15393" t="s">
        <v>4</v>
      </c>
    </row>
    <row r="15394" spans="1:2" x14ac:dyDescent="0.2">
      <c r="A15394" t="str">
        <f>"SPANXN1"</f>
        <v>SPANXN1</v>
      </c>
      <c r="B15394" t="s">
        <v>4</v>
      </c>
    </row>
    <row r="15395" spans="1:2" x14ac:dyDescent="0.2">
      <c r="A15395" t="str">
        <f>"SPANXN2"</f>
        <v>SPANXN2</v>
      </c>
      <c r="B15395" t="s">
        <v>4</v>
      </c>
    </row>
    <row r="15396" spans="1:2" x14ac:dyDescent="0.2">
      <c r="A15396" t="str">
        <f>"SPANXN3"</f>
        <v>SPANXN3</v>
      </c>
      <c r="B15396" t="s">
        <v>4</v>
      </c>
    </row>
    <row r="15397" spans="1:2" x14ac:dyDescent="0.2">
      <c r="A15397" t="str">
        <f>"SPANXN4"</f>
        <v>SPANXN4</v>
      </c>
      <c r="B15397" t="s">
        <v>4</v>
      </c>
    </row>
    <row r="15398" spans="1:2" x14ac:dyDescent="0.2">
      <c r="A15398" t="str">
        <f>"SPANXN5"</f>
        <v>SPANXN5</v>
      </c>
      <c r="B15398" t="s">
        <v>4</v>
      </c>
    </row>
    <row r="15399" spans="1:2" x14ac:dyDescent="0.2">
      <c r="A15399" t="str">
        <f>"SPARC"</f>
        <v>SPARC</v>
      </c>
      <c r="B15399" t="s">
        <v>3</v>
      </c>
    </row>
    <row r="15400" spans="1:2" x14ac:dyDescent="0.2">
      <c r="A15400" t="str">
        <f>"SPARCL1"</f>
        <v>SPARCL1</v>
      </c>
      <c r="B15400" t="s">
        <v>4</v>
      </c>
    </row>
    <row r="15401" spans="1:2" x14ac:dyDescent="0.2">
      <c r="A15401" t="str">
        <f>"SPAST"</f>
        <v>SPAST</v>
      </c>
      <c r="B15401" t="s">
        <v>6</v>
      </c>
    </row>
    <row r="15402" spans="1:2" x14ac:dyDescent="0.2">
      <c r="A15402" t="str">
        <f>"SPATA12"</f>
        <v>SPATA12</v>
      </c>
      <c r="B15402" t="s">
        <v>4</v>
      </c>
    </row>
    <row r="15403" spans="1:2" x14ac:dyDescent="0.2">
      <c r="A15403" t="str">
        <f>"SPATA13"</f>
        <v>SPATA13</v>
      </c>
      <c r="B15403" t="s">
        <v>8</v>
      </c>
    </row>
    <row r="15404" spans="1:2" x14ac:dyDescent="0.2">
      <c r="A15404" t="str">
        <f>"SPATA16"</f>
        <v>SPATA16</v>
      </c>
      <c r="B15404" t="s">
        <v>4</v>
      </c>
    </row>
    <row r="15405" spans="1:2" x14ac:dyDescent="0.2">
      <c r="A15405" t="str">
        <f>"SPATA17"</f>
        <v>SPATA17</v>
      </c>
      <c r="B15405" t="s">
        <v>4</v>
      </c>
    </row>
    <row r="15406" spans="1:2" x14ac:dyDescent="0.2">
      <c r="A15406" t="str">
        <f>"SPATA18"</f>
        <v>SPATA18</v>
      </c>
      <c r="B15406" t="s">
        <v>6</v>
      </c>
    </row>
    <row r="15407" spans="1:2" x14ac:dyDescent="0.2">
      <c r="A15407" t="str">
        <f>"SPATA19"</f>
        <v>SPATA19</v>
      </c>
      <c r="B15407" t="s">
        <v>6</v>
      </c>
    </row>
    <row r="15408" spans="1:2" x14ac:dyDescent="0.2">
      <c r="A15408" t="str">
        <f>"SPATA2"</f>
        <v>SPATA2</v>
      </c>
      <c r="B15408" t="s">
        <v>3</v>
      </c>
    </row>
    <row r="15409" spans="1:2" x14ac:dyDescent="0.2">
      <c r="A15409" t="str">
        <f>"SPATA20"</f>
        <v>SPATA20</v>
      </c>
      <c r="B15409" t="s">
        <v>4</v>
      </c>
    </row>
    <row r="15410" spans="1:2" x14ac:dyDescent="0.2">
      <c r="A15410" t="str">
        <f>"SPATA21"</f>
        <v>SPATA21</v>
      </c>
      <c r="B15410" t="s">
        <v>4</v>
      </c>
    </row>
    <row r="15411" spans="1:2" x14ac:dyDescent="0.2">
      <c r="A15411" t="str">
        <f>"SPATA22"</f>
        <v>SPATA22</v>
      </c>
      <c r="B15411" t="s">
        <v>4</v>
      </c>
    </row>
    <row r="15412" spans="1:2" x14ac:dyDescent="0.2">
      <c r="A15412" t="str">
        <f>"SPATA24"</f>
        <v>SPATA24</v>
      </c>
      <c r="B15412" t="s">
        <v>4</v>
      </c>
    </row>
    <row r="15413" spans="1:2" x14ac:dyDescent="0.2">
      <c r="A15413" t="str">
        <f>"SPATA25"</f>
        <v>SPATA25</v>
      </c>
      <c r="B15413" t="s">
        <v>4</v>
      </c>
    </row>
    <row r="15414" spans="1:2" x14ac:dyDescent="0.2">
      <c r="A15414" t="str">
        <f>"SPATA2L"</f>
        <v>SPATA2L</v>
      </c>
      <c r="B15414" t="s">
        <v>4</v>
      </c>
    </row>
    <row r="15415" spans="1:2" x14ac:dyDescent="0.2">
      <c r="A15415" t="str">
        <f>"SPATA3"</f>
        <v>SPATA3</v>
      </c>
      <c r="B15415" t="s">
        <v>4</v>
      </c>
    </row>
    <row r="15416" spans="1:2" x14ac:dyDescent="0.2">
      <c r="A15416" t="str">
        <f>"SPATA31D1"</f>
        <v>SPATA31D1</v>
      </c>
      <c r="B15416" t="s">
        <v>5</v>
      </c>
    </row>
    <row r="15417" spans="1:2" x14ac:dyDescent="0.2">
      <c r="A15417" t="str">
        <f>"SPATA31E1"</f>
        <v>SPATA31E1</v>
      </c>
      <c r="B15417" t="s">
        <v>5</v>
      </c>
    </row>
    <row r="15418" spans="1:2" x14ac:dyDescent="0.2">
      <c r="A15418" t="str">
        <f>"SPATA32"</f>
        <v>SPATA32</v>
      </c>
      <c r="B15418" t="s">
        <v>4</v>
      </c>
    </row>
    <row r="15419" spans="1:2" x14ac:dyDescent="0.2">
      <c r="A15419" t="str">
        <f>"SPATA33"</f>
        <v>SPATA33</v>
      </c>
      <c r="B15419" t="s">
        <v>4</v>
      </c>
    </row>
    <row r="15420" spans="1:2" x14ac:dyDescent="0.2">
      <c r="A15420" t="str">
        <f>"SPATA4"</f>
        <v>SPATA4</v>
      </c>
      <c r="B15420" t="s">
        <v>4</v>
      </c>
    </row>
    <row r="15421" spans="1:2" x14ac:dyDescent="0.2">
      <c r="A15421" t="str">
        <f>"SPATA5"</f>
        <v>SPATA5</v>
      </c>
      <c r="B15421" t="s">
        <v>2</v>
      </c>
    </row>
    <row r="15422" spans="1:2" x14ac:dyDescent="0.2">
      <c r="A15422" t="str">
        <f>"SPATA5L1"</f>
        <v>SPATA5L1</v>
      </c>
      <c r="B15422" t="s">
        <v>4</v>
      </c>
    </row>
    <row r="15423" spans="1:2" x14ac:dyDescent="0.2">
      <c r="A15423" t="str">
        <f>"SPATA6"</f>
        <v>SPATA6</v>
      </c>
      <c r="B15423" t="s">
        <v>6</v>
      </c>
    </row>
    <row r="15424" spans="1:2" x14ac:dyDescent="0.2">
      <c r="A15424" t="str">
        <f>"SPATA6L"</f>
        <v>SPATA6L</v>
      </c>
      <c r="B15424" t="s">
        <v>4</v>
      </c>
    </row>
    <row r="15425" spans="1:2" x14ac:dyDescent="0.2">
      <c r="A15425" t="str">
        <f>"SPATA7"</f>
        <v>SPATA7</v>
      </c>
      <c r="B15425" t="s">
        <v>8</v>
      </c>
    </row>
    <row r="15426" spans="1:2" x14ac:dyDescent="0.2">
      <c r="A15426" t="str">
        <f>"SPATA8"</f>
        <v>SPATA8</v>
      </c>
      <c r="B15426" t="s">
        <v>4</v>
      </c>
    </row>
    <row r="15427" spans="1:2" x14ac:dyDescent="0.2">
      <c r="A15427" t="str">
        <f>"SPATA9"</f>
        <v>SPATA9</v>
      </c>
      <c r="B15427" t="s">
        <v>5</v>
      </c>
    </row>
    <row r="15428" spans="1:2" x14ac:dyDescent="0.2">
      <c r="A15428" t="str">
        <f>"SPATC1"</f>
        <v>SPATC1</v>
      </c>
      <c r="B15428" t="s">
        <v>3</v>
      </c>
    </row>
    <row r="15429" spans="1:2" x14ac:dyDescent="0.2">
      <c r="A15429" t="str">
        <f>"SPATC1L"</f>
        <v>SPATC1L</v>
      </c>
      <c r="B15429" t="s">
        <v>4</v>
      </c>
    </row>
    <row r="15430" spans="1:2" x14ac:dyDescent="0.2">
      <c r="A15430" t="str">
        <f>"SPATS1"</f>
        <v>SPATS1</v>
      </c>
      <c r="B15430" t="s">
        <v>4</v>
      </c>
    </row>
    <row r="15431" spans="1:2" x14ac:dyDescent="0.2">
      <c r="A15431" t="str">
        <f>"SPATS2"</f>
        <v>SPATS2</v>
      </c>
      <c r="B15431" t="s">
        <v>4</v>
      </c>
    </row>
    <row r="15432" spans="1:2" x14ac:dyDescent="0.2">
      <c r="A15432" t="str">
        <f>"SPATS2L"</f>
        <v>SPATS2L</v>
      </c>
      <c r="B15432" t="s">
        <v>4</v>
      </c>
    </row>
    <row r="15433" spans="1:2" x14ac:dyDescent="0.2">
      <c r="A15433" t="str">
        <f>"SPC24"</f>
        <v>SPC24</v>
      </c>
      <c r="B15433" t="s">
        <v>3</v>
      </c>
    </row>
    <row r="15434" spans="1:2" x14ac:dyDescent="0.2">
      <c r="A15434" t="str">
        <f>"SPC25"</f>
        <v>SPC25</v>
      </c>
      <c r="B15434" t="s">
        <v>3</v>
      </c>
    </row>
    <row r="15435" spans="1:2" x14ac:dyDescent="0.2">
      <c r="A15435" t="str">
        <f>"SPCS1"</f>
        <v>SPCS1</v>
      </c>
      <c r="B15435" t="s">
        <v>2</v>
      </c>
    </row>
    <row r="15436" spans="1:2" x14ac:dyDescent="0.2">
      <c r="A15436" t="str">
        <f>"SPCS2"</f>
        <v>SPCS2</v>
      </c>
      <c r="B15436" t="s">
        <v>2</v>
      </c>
    </row>
    <row r="15437" spans="1:2" x14ac:dyDescent="0.2">
      <c r="A15437" t="str">
        <f>"SPCS3"</f>
        <v>SPCS3</v>
      </c>
      <c r="B15437" t="s">
        <v>2</v>
      </c>
    </row>
    <row r="15438" spans="1:2" x14ac:dyDescent="0.2">
      <c r="A15438" t="str">
        <f>"SPDEF"</f>
        <v>SPDEF</v>
      </c>
      <c r="B15438" t="s">
        <v>8</v>
      </c>
    </row>
    <row r="15439" spans="1:2" x14ac:dyDescent="0.2">
      <c r="A15439" t="str">
        <f>"SPDL1"</f>
        <v>SPDL1</v>
      </c>
      <c r="B15439" t="s">
        <v>4</v>
      </c>
    </row>
    <row r="15440" spans="1:2" x14ac:dyDescent="0.2">
      <c r="A15440" t="str">
        <f>"SPDYA"</f>
        <v>SPDYA</v>
      </c>
      <c r="B15440" t="s">
        <v>3</v>
      </c>
    </row>
    <row r="15441" spans="1:2" x14ac:dyDescent="0.2">
      <c r="A15441" t="str">
        <f>"SPDYC"</f>
        <v>SPDYC</v>
      </c>
      <c r="B15441" t="s">
        <v>3</v>
      </c>
    </row>
    <row r="15442" spans="1:2" x14ac:dyDescent="0.2">
      <c r="A15442" t="str">
        <f>"SPDYE2"</f>
        <v>SPDYE2</v>
      </c>
      <c r="B15442" t="s">
        <v>4</v>
      </c>
    </row>
    <row r="15443" spans="1:2" x14ac:dyDescent="0.2">
      <c r="A15443" t="str">
        <f>"SPDYE2B"</f>
        <v>SPDYE2B</v>
      </c>
      <c r="B15443" t="s">
        <v>4</v>
      </c>
    </row>
    <row r="15444" spans="1:2" x14ac:dyDescent="0.2">
      <c r="A15444" t="str">
        <f>"SPDYE4"</f>
        <v>SPDYE4</v>
      </c>
      <c r="B15444" t="s">
        <v>4</v>
      </c>
    </row>
    <row r="15445" spans="1:2" x14ac:dyDescent="0.2">
      <c r="A15445" t="str">
        <f>"SPECC1"</f>
        <v>SPECC1</v>
      </c>
      <c r="B15445" t="s">
        <v>3</v>
      </c>
    </row>
    <row r="15446" spans="1:2" x14ac:dyDescent="0.2">
      <c r="A15446" t="str">
        <f>"SPECC1L"</f>
        <v>SPECC1L</v>
      </c>
      <c r="B15446" t="s">
        <v>3</v>
      </c>
    </row>
    <row r="15447" spans="1:2" x14ac:dyDescent="0.2">
      <c r="A15447" t="str">
        <f>"SPEF1"</f>
        <v>SPEF1</v>
      </c>
      <c r="B15447" t="s">
        <v>4</v>
      </c>
    </row>
    <row r="15448" spans="1:2" x14ac:dyDescent="0.2">
      <c r="A15448" t="str">
        <f>"SPEF2"</f>
        <v>SPEF2</v>
      </c>
      <c r="B15448" t="s">
        <v>4</v>
      </c>
    </row>
    <row r="15449" spans="1:2" x14ac:dyDescent="0.2">
      <c r="A15449" t="str">
        <f>"SPEG"</f>
        <v>SPEG</v>
      </c>
      <c r="B15449" t="s">
        <v>7</v>
      </c>
    </row>
    <row r="15450" spans="1:2" x14ac:dyDescent="0.2">
      <c r="A15450" t="str">
        <f>"SPEM1"</f>
        <v>SPEM1</v>
      </c>
      <c r="B15450" t="s">
        <v>8</v>
      </c>
    </row>
    <row r="15451" spans="1:2" x14ac:dyDescent="0.2">
      <c r="A15451" t="str">
        <f>"SPEN"</f>
        <v>SPEN</v>
      </c>
      <c r="B15451" t="s">
        <v>3</v>
      </c>
    </row>
    <row r="15452" spans="1:2" x14ac:dyDescent="0.2">
      <c r="A15452" t="str">
        <f>"SPERT"</f>
        <v>SPERT</v>
      </c>
      <c r="B15452" t="s">
        <v>6</v>
      </c>
    </row>
    <row r="15453" spans="1:2" x14ac:dyDescent="0.2">
      <c r="A15453" t="str">
        <f>"SPESP1"</f>
        <v>SPESP1</v>
      </c>
      <c r="B15453" t="s">
        <v>4</v>
      </c>
    </row>
    <row r="15454" spans="1:2" x14ac:dyDescent="0.2">
      <c r="A15454" t="str">
        <f>"SPG11"</f>
        <v>SPG11</v>
      </c>
      <c r="B15454" t="s">
        <v>5</v>
      </c>
    </row>
    <row r="15455" spans="1:2" x14ac:dyDescent="0.2">
      <c r="A15455" t="str">
        <f>"SPG20"</f>
        <v>SPG20</v>
      </c>
      <c r="B15455" t="s">
        <v>2</v>
      </c>
    </row>
    <row r="15456" spans="1:2" x14ac:dyDescent="0.2">
      <c r="A15456" t="str">
        <f>"SPG21"</f>
        <v>SPG21</v>
      </c>
      <c r="B15456" t="s">
        <v>6</v>
      </c>
    </row>
    <row r="15457" spans="1:2" x14ac:dyDescent="0.2">
      <c r="A15457" t="str">
        <f>"SPG7"</f>
        <v>SPG7</v>
      </c>
      <c r="B15457" t="s">
        <v>2</v>
      </c>
    </row>
    <row r="15458" spans="1:2" x14ac:dyDescent="0.2">
      <c r="A15458" t="str">
        <f>"SPHAR"</f>
        <v>SPHAR</v>
      </c>
      <c r="B15458" t="s">
        <v>4</v>
      </c>
    </row>
    <row r="15459" spans="1:2" x14ac:dyDescent="0.2">
      <c r="A15459" t="str">
        <f>"SPHK1"</f>
        <v>SPHK1</v>
      </c>
      <c r="B15459" t="s">
        <v>7</v>
      </c>
    </row>
    <row r="15460" spans="1:2" x14ac:dyDescent="0.2">
      <c r="A15460" t="str">
        <f>"SPHK2"</f>
        <v>SPHK2</v>
      </c>
      <c r="B15460" t="s">
        <v>7</v>
      </c>
    </row>
    <row r="15461" spans="1:2" x14ac:dyDescent="0.2">
      <c r="A15461" t="str">
        <f>"SPHKAP"</f>
        <v>SPHKAP</v>
      </c>
      <c r="B15461" t="s">
        <v>7</v>
      </c>
    </row>
    <row r="15462" spans="1:2" x14ac:dyDescent="0.2">
      <c r="A15462" t="str">
        <f>"SPI1"</f>
        <v>SPI1</v>
      </c>
      <c r="B15462" t="s">
        <v>8</v>
      </c>
    </row>
    <row r="15463" spans="1:2" x14ac:dyDescent="0.2">
      <c r="A15463" t="str">
        <f>"SPIB"</f>
        <v>SPIB</v>
      </c>
      <c r="B15463" t="s">
        <v>8</v>
      </c>
    </row>
    <row r="15464" spans="1:2" x14ac:dyDescent="0.2">
      <c r="A15464" t="str">
        <f>"SPIC"</f>
        <v>SPIC</v>
      </c>
      <c r="B15464" t="s">
        <v>8</v>
      </c>
    </row>
    <row r="15465" spans="1:2" x14ac:dyDescent="0.2">
      <c r="A15465" t="str">
        <f>"SPICE1"</f>
        <v>SPICE1</v>
      </c>
      <c r="B15465" t="s">
        <v>4</v>
      </c>
    </row>
    <row r="15466" spans="1:2" x14ac:dyDescent="0.2">
      <c r="A15466" t="str">
        <f>"SPIDR"</f>
        <v>SPIDR</v>
      </c>
      <c r="B15466" t="s">
        <v>5</v>
      </c>
    </row>
    <row r="15467" spans="1:2" x14ac:dyDescent="0.2">
      <c r="A15467" t="str">
        <f>"SPIN1"</f>
        <v>SPIN1</v>
      </c>
      <c r="B15467" t="s">
        <v>3</v>
      </c>
    </row>
    <row r="15468" spans="1:2" x14ac:dyDescent="0.2">
      <c r="A15468" t="str">
        <f>"SPIN2A"</f>
        <v>SPIN2A</v>
      </c>
      <c r="B15468" t="s">
        <v>3</v>
      </c>
    </row>
    <row r="15469" spans="1:2" x14ac:dyDescent="0.2">
      <c r="A15469" t="str">
        <f>"SPIN2B"</f>
        <v>SPIN2B</v>
      </c>
      <c r="B15469" t="s">
        <v>3</v>
      </c>
    </row>
    <row r="15470" spans="1:2" x14ac:dyDescent="0.2">
      <c r="A15470" t="str">
        <f>"SPIN3"</f>
        <v>SPIN3</v>
      </c>
      <c r="B15470" t="s">
        <v>4</v>
      </c>
    </row>
    <row r="15471" spans="1:2" x14ac:dyDescent="0.2">
      <c r="A15471" t="str">
        <f>"SPIN4"</f>
        <v>SPIN4</v>
      </c>
      <c r="B15471" t="s">
        <v>4</v>
      </c>
    </row>
    <row r="15472" spans="1:2" x14ac:dyDescent="0.2">
      <c r="A15472" t="str">
        <f>"SPINK1"</f>
        <v>SPINK1</v>
      </c>
      <c r="B15472" t="s">
        <v>3</v>
      </c>
    </row>
    <row r="15473" spans="1:2" x14ac:dyDescent="0.2">
      <c r="A15473" t="str">
        <f>"SPINK13"</f>
        <v>SPINK13</v>
      </c>
      <c r="B15473" t="s">
        <v>4</v>
      </c>
    </row>
    <row r="15474" spans="1:2" x14ac:dyDescent="0.2">
      <c r="A15474" t="str">
        <f>"SPINK14"</f>
        <v>SPINK14</v>
      </c>
      <c r="B15474" t="s">
        <v>4</v>
      </c>
    </row>
    <row r="15475" spans="1:2" x14ac:dyDescent="0.2">
      <c r="A15475" t="str">
        <f>"SPINK2"</f>
        <v>SPINK2</v>
      </c>
      <c r="B15475" t="s">
        <v>3</v>
      </c>
    </row>
    <row r="15476" spans="1:2" x14ac:dyDescent="0.2">
      <c r="A15476" t="str">
        <f>"SPINK4"</f>
        <v>SPINK4</v>
      </c>
      <c r="B15476" t="s">
        <v>3</v>
      </c>
    </row>
    <row r="15477" spans="1:2" x14ac:dyDescent="0.2">
      <c r="A15477" t="str">
        <f>"SPINK5"</f>
        <v>SPINK5</v>
      </c>
      <c r="B15477" t="s">
        <v>2</v>
      </c>
    </row>
    <row r="15478" spans="1:2" x14ac:dyDescent="0.2">
      <c r="A15478" t="str">
        <f>"SPINK6"</f>
        <v>SPINK6</v>
      </c>
      <c r="B15478" t="s">
        <v>7</v>
      </c>
    </row>
    <row r="15479" spans="1:2" x14ac:dyDescent="0.2">
      <c r="A15479" t="str">
        <f>"SPINK7"</f>
        <v>SPINK7</v>
      </c>
      <c r="B15479" t="s">
        <v>3</v>
      </c>
    </row>
    <row r="15480" spans="1:2" x14ac:dyDescent="0.2">
      <c r="A15480" t="str">
        <f>"SPINK8"</f>
        <v>SPINK8</v>
      </c>
      <c r="B15480" t="s">
        <v>3</v>
      </c>
    </row>
    <row r="15481" spans="1:2" x14ac:dyDescent="0.2">
      <c r="A15481" t="str">
        <f>"SPINK9"</f>
        <v>SPINK9</v>
      </c>
      <c r="B15481" t="s">
        <v>3</v>
      </c>
    </row>
    <row r="15482" spans="1:2" x14ac:dyDescent="0.2">
      <c r="A15482" t="str">
        <f>"SPINT1"</f>
        <v>SPINT1</v>
      </c>
      <c r="B15482" t="s">
        <v>5</v>
      </c>
    </row>
    <row r="15483" spans="1:2" x14ac:dyDescent="0.2">
      <c r="A15483" t="str">
        <f>"SPINT2"</f>
        <v>SPINT2</v>
      </c>
      <c r="B15483" t="s">
        <v>3</v>
      </c>
    </row>
    <row r="15484" spans="1:2" x14ac:dyDescent="0.2">
      <c r="A15484" t="str">
        <f>"SPINT3"</f>
        <v>SPINT3</v>
      </c>
      <c r="B15484" t="s">
        <v>4</v>
      </c>
    </row>
    <row r="15485" spans="1:2" x14ac:dyDescent="0.2">
      <c r="A15485" t="str">
        <f>"SPINT4"</f>
        <v>SPINT4</v>
      </c>
      <c r="B15485" t="s">
        <v>4</v>
      </c>
    </row>
    <row r="15486" spans="1:2" x14ac:dyDescent="0.2">
      <c r="A15486" t="str">
        <f>"SPIRE1"</f>
        <v>SPIRE1</v>
      </c>
      <c r="B15486" t="s">
        <v>6</v>
      </c>
    </row>
    <row r="15487" spans="1:2" x14ac:dyDescent="0.2">
      <c r="A15487" t="str">
        <f>"SPIRE2"</f>
        <v>SPIRE2</v>
      </c>
      <c r="B15487" t="s">
        <v>7</v>
      </c>
    </row>
    <row r="15488" spans="1:2" x14ac:dyDescent="0.2">
      <c r="A15488" t="str">
        <f>"SPN"</f>
        <v>SPN</v>
      </c>
      <c r="B15488" t="s">
        <v>3</v>
      </c>
    </row>
    <row r="15489" spans="1:2" x14ac:dyDescent="0.2">
      <c r="A15489" t="str">
        <f>"SPNS1"</f>
        <v>SPNS1</v>
      </c>
      <c r="B15489" t="s">
        <v>2</v>
      </c>
    </row>
    <row r="15490" spans="1:2" x14ac:dyDescent="0.2">
      <c r="A15490" t="str">
        <f>"SPNS2"</f>
        <v>SPNS2</v>
      </c>
      <c r="B15490" t="s">
        <v>5</v>
      </c>
    </row>
    <row r="15491" spans="1:2" x14ac:dyDescent="0.2">
      <c r="A15491" t="str">
        <f>"SPNS3"</f>
        <v>SPNS3</v>
      </c>
      <c r="B15491" t="s">
        <v>8</v>
      </c>
    </row>
    <row r="15492" spans="1:2" x14ac:dyDescent="0.2">
      <c r="A15492" t="str">
        <f>"SPO11"</f>
        <v>SPO11</v>
      </c>
      <c r="B15492" t="s">
        <v>3</v>
      </c>
    </row>
    <row r="15493" spans="1:2" x14ac:dyDescent="0.2">
      <c r="A15493" t="str">
        <f>"SPOCD1"</f>
        <v>SPOCD1</v>
      </c>
      <c r="B15493" t="s">
        <v>4</v>
      </c>
    </row>
    <row r="15494" spans="1:2" x14ac:dyDescent="0.2">
      <c r="A15494" t="str">
        <f>"SPOCK1"</f>
        <v>SPOCK1</v>
      </c>
      <c r="B15494" t="s">
        <v>3</v>
      </c>
    </row>
    <row r="15495" spans="1:2" x14ac:dyDescent="0.2">
      <c r="A15495" t="str">
        <f>"SPOCK2"</f>
        <v>SPOCK2</v>
      </c>
      <c r="B15495" t="s">
        <v>4</v>
      </c>
    </row>
    <row r="15496" spans="1:2" x14ac:dyDescent="0.2">
      <c r="A15496" t="str">
        <f>"SPOCK3"</f>
        <v>SPOCK3</v>
      </c>
      <c r="B15496" t="s">
        <v>4</v>
      </c>
    </row>
    <row r="15497" spans="1:2" x14ac:dyDescent="0.2">
      <c r="A15497" t="str">
        <f>"SPON1"</f>
        <v>SPON1</v>
      </c>
      <c r="B15497" t="s">
        <v>4</v>
      </c>
    </row>
    <row r="15498" spans="1:2" x14ac:dyDescent="0.2">
      <c r="A15498" t="str">
        <f>"SPON2"</f>
        <v>SPON2</v>
      </c>
      <c r="B15498" t="s">
        <v>4</v>
      </c>
    </row>
    <row r="15499" spans="1:2" x14ac:dyDescent="0.2">
      <c r="A15499" t="str">
        <f>"SPOP"</f>
        <v>SPOP</v>
      </c>
      <c r="B15499" t="s">
        <v>2</v>
      </c>
    </row>
    <row r="15500" spans="1:2" x14ac:dyDescent="0.2">
      <c r="A15500" t="str">
        <f>"SPOPL"</f>
        <v>SPOPL</v>
      </c>
      <c r="B15500" t="s">
        <v>2</v>
      </c>
    </row>
    <row r="15501" spans="1:2" x14ac:dyDescent="0.2">
      <c r="A15501" t="str">
        <f>"SPP1"</f>
        <v>SPP1</v>
      </c>
      <c r="B15501" t="s">
        <v>3</v>
      </c>
    </row>
    <row r="15502" spans="1:2" x14ac:dyDescent="0.2">
      <c r="A15502" t="str">
        <f>"SPP2"</f>
        <v>SPP2</v>
      </c>
      <c r="B15502" t="s">
        <v>6</v>
      </c>
    </row>
    <row r="15503" spans="1:2" x14ac:dyDescent="0.2">
      <c r="A15503" t="str">
        <f>"SPPL2A"</f>
        <v>SPPL2A</v>
      </c>
      <c r="B15503" t="s">
        <v>2</v>
      </c>
    </row>
    <row r="15504" spans="1:2" x14ac:dyDescent="0.2">
      <c r="A15504" t="str">
        <f>"SPPL2B"</f>
        <v>SPPL2B</v>
      </c>
      <c r="B15504" t="s">
        <v>2</v>
      </c>
    </row>
    <row r="15505" spans="1:2" x14ac:dyDescent="0.2">
      <c r="A15505" t="str">
        <f>"SPPL2C"</f>
        <v>SPPL2C</v>
      </c>
      <c r="B15505" t="s">
        <v>5</v>
      </c>
    </row>
    <row r="15506" spans="1:2" x14ac:dyDescent="0.2">
      <c r="A15506" t="str">
        <f>"SPPL3"</f>
        <v>SPPL3</v>
      </c>
      <c r="B15506" t="s">
        <v>5</v>
      </c>
    </row>
    <row r="15507" spans="1:2" x14ac:dyDescent="0.2">
      <c r="A15507" t="str">
        <f>"SPR"</f>
        <v>SPR</v>
      </c>
      <c r="B15507" t="s">
        <v>7</v>
      </c>
    </row>
    <row r="15508" spans="1:2" x14ac:dyDescent="0.2">
      <c r="A15508" t="str">
        <f>"SPRED1"</f>
        <v>SPRED1</v>
      </c>
      <c r="B15508" t="s">
        <v>5</v>
      </c>
    </row>
    <row r="15509" spans="1:2" x14ac:dyDescent="0.2">
      <c r="A15509" t="str">
        <f>"SPRED2"</f>
        <v>SPRED2</v>
      </c>
      <c r="B15509" t="s">
        <v>2</v>
      </c>
    </row>
    <row r="15510" spans="1:2" x14ac:dyDescent="0.2">
      <c r="A15510" t="str">
        <f>"SPRED3"</f>
        <v>SPRED3</v>
      </c>
      <c r="B15510" t="s">
        <v>4</v>
      </c>
    </row>
    <row r="15511" spans="1:2" x14ac:dyDescent="0.2">
      <c r="A15511" t="str">
        <f>"SPRN"</f>
        <v>SPRN</v>
      </c>
      <c r="B15511" t="s">
        <v>4</v>
      </c>
    </row>
    <row r="15512" spans="1:2" x14ac:dyDescent="0.2">
      <c r="A15512" t="str">
        <f>"SPRR1A"</f>
        <v>SPRR1A</v>
      </c>
      <c r="B15512" t="s">
        <v>4</v>
      </c>
    </row>
    <row r="15513" spans="1:2" x14ac:dyDescent="0.2">
      <c r="A15513" t="str">
        <f>"SPRR1B"</f>
        <v>SPRR1B</v>
      </c>
      <c r="B15513" t="s">
        <v>6</v>
      </c>
    </row>
    <row r="15514" spans="1:2" x14ac:dyDescent="0.2">
      <c r="A15514" t="str">
        <f>"SPRR2A"</f>
        <v>SPRR2A</v>
      </c>
      <c r="B15514" t="s">
        <v>4</v>
      </c>
    </row>
    <row r="15515" spans="1:2" x14ac:dyDescent="0.2">
      <c r="A15515" t="str">
        <f>"SPRR2B"</f>
        <v>SPRR2B</v>
      </c>
      <c r="B15515" t="s">
        <v>4</v>
      </c>
    </row>
    <row r="15516" spans="1:2" x14ac:dyDescent="0.2">
      <c r="A15516" t="str">
        <f>"SPRR2D"</f>
        <v>SPRR2D</v>
      </c>
      <c r="B15516" t="s">
        <v>4</v>
      </c>
    </row>
    <row r="15517" spans="1:2" x14ac:dyDescent="0.2">
      <c r="A15517" t="str">
        <f>"SPRR2E"</f>
        <v>SPRR2E</v>
      </c>
      <c r="B15517" t="s">
        <v>4</v>
      </c>
    </row>
    <row r="15518" spans="1:2" x14ac:dyDescent="0.2">
      <c r="A15518" t="str">
        <f>"SPRR2F"</f>
        <v>SPRR2F</v>
      </c>
      <c r="B15518" t="s">
        <v>4</v>
      </c>
    </row>
    <row r="15519" spans="1:2" x14ac:dyDescent="0.2">
      <c r="A15519" t="str">
        <f>"SPRR2G"</f>
        <v>SPRR2G</v>
      </c>
      <c r="B15519" t="s">
        <v>6</v>
      </c>
    </row>
    <row r="15520" spans="1:2" x14ac:dyDescent="0.2">
      <c r="A15520" t="str">
        <f>"SPRR3"</f>
        <v>SPRR3</v>
      </c>
      <c r="B15520" t="s">
        <v>4</v>
      </c>
    </row>
    <row r="15521" spans="1:2" x14ac:dyDescent="0.2">
      <c r="A15521" t="str">
        <f>"SPRR4"</f>
        <v>SPRR4</v>
      </c>
      <c r="B15521" t="s">
        <v>4</v>
      </c>
    </row>
    <row r="15522" spans="1:2" x14ac:dyDescent="0.2">
      <c r="A15522" t="str">
        <f>"SPRTN"</f>
        <v>SPRTN</v>
      </c>
      <c r="B15522" t="s">
        <v>2</v>
      </c>
    </row>
    <row r="15523" spans="1:2" x14ac:dyDescent="0.2">
      <c r="A15523" t="str">
        <f>"SPRY1"</f>
        <v>SPRY1</v>
      </c>
      <c r="B15523" t="s">
        <v>6</v>
      </c>
    </row>
    <row r="15524" spans="1:2" x14ac:dyDescent="0.2">
      <c r="A15524" t="str">
        <f>"SPRY2"</f>
        <v>SPRY2</v>
      </c>
      <c r="B15524" t="s">
        <v>3</v>
      </c>
    </row>
    <row r="15525" spans="1:2" x14ac:dyDescent="0.2">
      <c r="A15525" t="str">
        <f>"SPRY3"</f>
        <v>SPRY3</v>
      </c>
      <c r="B15525" t="s">
        <v>5</v>
      </c>
    </row>
    <row r="15526" spans="1:2" x14ac:dyDescent="0.2">
      <c r="A15526" t="str">
        <f>"SPRY4"</f>
        <v>SPRY4</v>
      </c>
      <c r="B15526" t="s">
        <v>5</v>
      </c>
    </row>
    <row r="15527" spans="1:2" x14ac:dyDescent="0.2">
      <c r="A15527" t="str">
        <f>"SPRYD3"</f>
        <v>SPRYD3</v>
      </c>
      <c r="B15527" t="s">
        <v>7</v>
      </c>
    </row>
    <row r="15528" spans="1:2" x14ac:dyDescent="0.2">
      <c r="A15528" t="str">
        <f>"SPRYD4"</f>
        <v>SPRYD4</v>
      </c>
      <c r="B15528" t="s">
        <v>6</v>
      </c>
    </row>
    <row r="15529" spans="1:2" x14ac:dyDescent="0.2">
      <c r="A15529" t="str">
        <f>"SPRYD7"</f>
        <v>SPRYD7</v>
      </c>
      <c r="B15529" t="s">
        <v>6</v>
      </c>
    </row>
    <row r="15530" spans="1:2" x14ac:dyDescent="0.2">
      <c r="A15530" t="str">
        <f>"SPSB1"</f>
        <v>SPSB1</v>
      </c>
      <c r="B15530" t="s">
        <v>2</v>
      </c>
    </row>
    <row r="15531" spans="1:2" x14ac:dyDescent="0.2">
      <c r="A15531" t="str">
        <f>"SPSB2"</f>
        <v>SPSB2</v>
      </c>
      <c r="B15531" t="s">
        <v>2</v>
      </c>
    </row>
    <row r="15532" spans="1:2" x14ac:dyDescent="0.2">
      <c r="A15532" t="str">
        <f>"SPSB3"</f>
        <v>SPSB3</v>
      </c>
      <c r="B15532" t="s">
        <v>2</v>
      </c>
    </row>
    <row r="15533" spans="1:2" x14ac:dyDescent="0.2">
      <c r="A15533" t="str">
        <f>"SPSB4"</f>
        <v>SPSB4</v>
      </c>
      <c r="B15533" t="s">
        <v>2</v>
      </c>
    </row>
    <row r="15534" spans="1:2" x14ac:dyDescent="0.2">
      <c r="A15534" t="str">
        <f>"SPTA1"</f>
        <v>SPTA1</v>
      </c>
      <c r="B15534" t="s">
        <v>6</v>
      </c>
    </row>
    <row r="15535" spans="1:2" x14ac:dyDescent="0.2">
      <c r="A15535" t="str">
        <f>"SPTAN1"</f>
        <v>SPTAN1</v>
      </c>
      <c r="B15535" t="s">
        <v>3</v>
      </c>
    </row>
    <row r="15536" spans="1:2" x14ac:dyDescent="0.2">
      <c r="A15536" t="str">
        <f>"SPTB"</f>
        <v>SPTB</v>
      </c>
      <c r="B15536" t="s">
        <v>6</v>
      </c>
    </row>
    <row r="15537" spans="1:2" x14ac:dyDescent="0.2">
      <c r="A15537" t="str">
        <f>"SPTBN1"</f>
        <v>SPTBN1</v>
      </c>
      <c r="B15537" t="s">
        <v>7</v>
      </c>
    </row>
    <row r="15538" spans="1:2" x14ac:dyDescent="0.2">
      <c r="A15538" t="str">
        <f>"SPTBN2"</f>
        <v>SPTBN2</v>
      </c>
      <c r="B15538" t="s">
        <v>6</v>
      </c>
    </row>
    <row r="15539" spans="1:2" x14ac:dyDescent="0.2">
      <c r="A15539" t="str">
        <f>"SPTBN4"</f>
        <v>SPTBN4</v>
      </c>
      <c r="B15539" t="s">
        <v>6</v>
      </c>
    </row>
    <row r="15540" spans="1:2" x14ac:dyDescent="0.2">
      <c r="A15540" t="str">
        <f>"SPTBN5"</f>
        <v>SPTBN5</v>
      </c>
      <c r="B15540" t="s">
        <v>8</v>
      </c>
    </row>
    <row r="15541" spans="1:2" x14ac:dyDescent="0.2">
      <c r="A15541" t="str">
        <f>"SPTLC1"</f>
        <v>SPTLC1</v>
      </c>
      <c r="B15541" t="s">
        <v>7</v>
      </c>
    </row>
    <row r="15542" spans="1:2" x14ac:dyDescent="0.2">
      <c r="A15542" t="str">
        <f>"SPTLC2"</f>
        <v>SPTLC2</v>
      </c>
      <c r="B15542" t="s">
        <v>7</v>
      </c>
    </row>
    <row r="15543" spans="1:2" x14ac:dyDescent="0.2">
      <c r="A15543" t="str">
        <f>"SPTLC3"</f>
        <v>SPTLC3</v>
      </c>
      <c r="B15543" t="s">
        <v>7</v>
      </c>
    </row>
    <row r="15544" spans="1:2" x14ac:dyDescent="0.2">
      <c r="A15544" t="str">
        <f>"SPTSSA"</f>
        <v>SPTSSA</v>
      </c>
      <c r="B15544" t="s">
        <v>4</v>
      </c>
    </row>
    <row r="15545" spans="1:2" x14ac:dyDescent="0.2">
      <c r="A15545" t="str">
        <f>"SPTSSB"</f>
        <v>SPTSSB</v>
      </c>
      <c r="B15545" t="s">
        <v>5</v>
      </c>
    </row>
    <row r="15546" spans="1:2" x14ac:dyDescent="0.2">
      <c r="A15546" t="str">
        <f>"SPTY2D1"</f>
        <v>SPTY2D1</v>
      </c>
      <c r="B15546" t="s">
        <v>4</v>
      </c>
    </row>
    <row r="15547" spans="1:2" x14ac:dyDescent="0.2">
      <c r="A15547" t="str">
        <f>"SPZ1"</f>
        <v>SPZ1</v>
      </c>
      <c r="B15547" t="s">
        <v>8</v>
      </c>
    </row>
    <row r="15548" spans="1:2" x14ac:dyDescent="0.2">
      <c r="A15548" t="str">
        <f>"SQLE"</f>
        <v>SQLE</v>
      </c>
      <c r="B15548" t="s">
        <v>7</v>
      </c>
    </row>
    <row r="15549" spans="1:2" x14ac:dyDescent="0.2">
      <c r="A15549" t="str">
        <f>"SQRDL"</f>
        <v>SQRDL</v>
      </c>
      <c r="B15549" t="s">
        <v>6</v>
      </c>
    </row>
    <row r="15550" spans="1:2" x14ac:dyDescent="0.2">
      <c r="A15550" t="str">
        <f>"SQSTM1"</f>
        <v>SQSTM1</v>
      </c>
      <c r="B15550" t="s">
        <v>2</v>
      </c>
    </row>
    <row r="15551" spans="1:2" x14ac:dyDescent="0.2">
      <c r="A15551" t="str">
        <f>"SRA1"</f>
        <v>SRA1</v>
      </c>
      <c r="B15551" t="s">
        <v>8</v>
      </c>
    </row>
    <row r="15552" spans="1:2" x14ac:dyDescent="0.2">
      <c r="A15552" t="str">
        <f>"SRBD1"</f>
        <v>SRBD1</v>
      </c>
      <c r="B15552" t="s">
        <v>8</v>
      </c>
    </row>
    <row r="15553" spans="1:2" x14ac:dyDescent="0.2">
      <c r="A15553" t="str">
        <f>"SRC"</f>
        <v>SRC</v>
      </c>
      <c r="B15553" t="s">
        <v>7</v>
      </c>
    </row>
    <row r="15554" spans="1:2" x14ac:dyDescent="0.2">
      <c r="A15554" t="str">
        <f>"SRCAP"</f>
        <v>SRCAP</v>
      </c>
      <c r="B15554" t="s">
        <v>8</v>
      </c>
    </row>
    <row r="15555" spans="1:2" x14ac:dyDescent="0.2">
      <c r="A15555" t="str">
        <f>"SRCIN1"</f>
        <v>SRCIN1</v>
      </c>
      <c r="B15555" t="s">
        <v>6</v>
      </c>
    </row>
    <row r="15556" spans="1:2" x14ac:dyDescent="0.2">
      <c r="A15556" t="str">
        <f>"SRCRB4D"</f>
        <v>SRCRB4D</v>
      </c>
      <c r="B15556" t="s">
        <v>4</v>
      </c>
    </row>
    <row r="15557" spans="1:2" x14ac:dyDescent="0.2">
      <c r="A15557" t="str">
        <f>"SRD5A1"</f>
        <v>SRD5A1</v>
      </c>
      <c r="B15557" t="s">
        <v>3</v>
      </c>
    </row>
    <row r="15558" spans="1:2" x14ac:dyDescent="0.2">
      <c r="A15558" t="str">
        <f>"SRD5A2"</f>
        <v>SRD5A2</v>
      </c>
      <c r="B15558" t="s">
        <v>3</v>
      </c>
    </row>
    <row r="15559" spans="1:2" x14ac:dyDescent="0.2">
      <c r="A15559" t="str">
        <f>"SRD5A3"</f>
        <v>SRD5A3</v>
      </c>
      <c r="B15559" t="s">
        <v>6</v>
      </c>
    </row>
    <row r="15560" spans="1:2" x14ac:dyDescent="0.2">
      <c r="A15560" t="str">
        <f>"SREBF1"</f>
        <v>SREBF1</v>
      </c>
      <c r="B15560" t="s">
        <v>3</v>
      </c>
    </row>
    <row r="15561" spans="1:2" x14ac:dyDescent="0.2">
      <c r="A15561" t="str">
        <f>"SREBF2"</f>
        <v>SREBF2</v>
      </c>
      <c r="B15561" t="s">
        <v>3</v>
      </c>
    </row>
    <row r="15562" spans="1:2" x14ac:dyDescent="0.2">
      <c r="A15562" t="str">
        <f>"SREK1"</f>
        <v>SREK1</v>
      </c>
      <c r="B15562" t="s">
        <v>6</v>
      </c>
    </row>
    <row r="15563" spans="1:2" x14ac:dyDescent="0.2">
      <c r="A15563" t="str">
        <f>"SREK1IP1"</f>
        <v>SREK1IP1</v>
      </c>
      <c r="B15563" t="s">
        <v>8</v>
      </c>
    </row>
    <row r="15564" spans="1:2" x14ac:dyDescent="0.2">
      <c r="A15564" t="str">
        <f>"SRF"</f>
        <v>SRF</v>
      </c>
      <c r="B15564" t="s">
        <v>8</v>
      </c>
    </row>
    <row r="15565" spans="1:2" x14ac:dyDescent="0.2">
      <c r="A15565" t="str">
        <f>"SRFBP1"</f>
        <v>SRFBP1</v>
      </c>
      <c r="B15565" t="s">
        <v>4</v>
      </c>
    </row>
    <row r="15566" spans="1:2" x14ac:dyDescent="0.2">
      <c r="A15566" t="str">
        <f>"SRGAP1"</f>
        <v>SRGAP1</v>
      </c>
      <c r="B15566" t="s">
        <v>4</v>
      </c>
    </row>
    <row r="15567" spans="1:2" x14ac:dyDescent="0.2">
      <c r="A15567" t="str">
        <f>"SRGAP2"</f>
        <v>SRGAP2</v>
      </c>
      <c r="B15567" t="s">
        <v>2</v>
      </c>
    </row>
    <row r="15568" spans="1:2" x14ac:dyDescent="0.2">
      <c r="A15568" t="str">
        <f>"SRGAP3"</f>
        <v>SRGAP3</v>
      </c>
      <c r="B15568" t="s">
        <v>6</v>
      </c>
    </row>
    <row r="15569" spans="1:2" x14ac:dyDescent="0.2">
      <c r="A15569" t="str">
        <f>"SRGN"</f>
        <v>SRGN</v>
      </c>
      <c r="B15569" t="s">
        <v>2</v>
      </c>
    </row>
    <row r="15570" spans="1:2" x14ac:dyDescent="0.2">
      <c r="A15570" t="str">
        <f>"SRI"</f>
        <v>SRI</v>
      </c>
      <c r="B15570" t="s">
        <v>6</v>
      </c>
    </row>
    <row r="15571" spans="1:2" x14ac:dyDescent="0.2">
      <c r="A15571" t="str">
        <f>"SRL"</f>
        <v>SRL</v>
      </c>
      <c r="B15571" t="s">
        <v>4</v>
      </c>
    </row>
    <row r="15572" spans="1:2" x14ac:dyDescent="0.2">
      <c r="A15572" t="str">
        <f>"SRM"</f>
        <v>SRM</v>
      </c>
      <c r="B15572" t="s">
        <v>3</v>
      </c>
    </row>
    <row r="15573" spans="1:2" x14ac:dyDescent="0.2">
      <c r="A15573" t="str">
        <f>"SRMS"</f>
        <v>SRMS</v>
      </c>
      <c r="B15573" t="s">
        <v>7</v>
      </c>
    </row>
    <row r="15574" spans="1:2" x14ac:dyDescent="0.2">
      <c r="A15574" t="str">
        <f>"SRP14"</f>
        <v>SRP14</v>
      </c>
      <c r="B15574" t="s">
        <v>6</v>
      </c>
    </row>
    <row r="15575" spans="1:2" x14ac:dyDescent="0.2">
      <c r="A15575" t="str">
        <f>"SRP19"</f>
        <v>SRP19</v>
      </c>
      <c r="B15575" t="s">
        <v>2</v>
      </c>
    </row>
    <row r="15576" spans="1:2" x14ac:dyDescent="0.2">
      <c r="A15576" t="str">
        <f>"SRP54"</f>
        <v>SRP54</v>
      </c>
      <c r="B15576" t="s">
        <v>2</v>
      </c>
    </row>
    <row r="15577" spans="1:2" x14ac:dyDescent="0.2">
      <c r="A15577" t="str">
        <f>"SRP68"</f>
        <v>SRP68</v>
      </c>
      <c r="B15577" t="s">
        <v>6</v>
      </c>
    </row>
    <row r="15578" spans="1:2" x14ac:dyDescent="0.2">
      <c r="A15578" t="str">
        <f>"SRP72"</f>
        <v>SRP72</v>
      </c>
      <c r="B15578" t="s">
        <v>6</v>
      </c>
    </row>
    <row r="15579" spans="1:2" x14ac:dyDescent="0.2">
      <c r="A15579" t="str">
        <f>"SRP9"</f>
        <v>SRP9</v>
      </c>
      <c r="B15579" t="s">
        <v>2</v>
      </c>
    </row>
    <row r="15580" spans="1:2" x14ac:dyDescent="0.2">
      <c r="A15580" t="str">
        <f>"SRPK1"</f>
        <v>SRPK1</v>
      </c>
      <c r="B15580" t="s">
        <v>7</v>
      </c>
    </row>
    <row r="15581" spans="1:2" x14ac:dyDescent="0.2">
      <c r="A15581" t="str">
        <f>"SRPK2"</f>
        <v>SRPK2</v>
      </c>
      <c r="B15581" t="s">
        <v>7</v>
      </c>
    </row>
    <row r="15582" spans="1:2" x14ac:dyDescent="0.2">
      <c r="A15582" t="str">
        <f>"SRPK3"</f>
        <v>SRPK3</v>
      </c>
      <c r="B15582" t="s">
        <v>7</v>
      </c>
    </row>
    <row r="15583" spans="1:2" x14ac:dyDescent="0.2">
      <c r="A15583" t="str">
        <f>"SRPR"</f>
        <v>SRPR</v>
      </c>
      <c r="B15583" t="s">
        <v>2</v>
      </c>
    </row>
    <row r="15584" spans="1:2" x14ac:dyDescent="0.2">
      <c r="A15584" t="str">
        <f>"SRPRB"</f>
        <v>SRPRB</v>
      </c>
      <c r="B15584" t="s">
        <v>2</v>
      </c>
    </row>
    <row r="15585" spans="1:2" x14ac:dyDescent="0.2">
      <c r="A15585" t="str">
        <f>"SRPX"</f>
        <v>SRPX</v>
      </c>
      <c r="B15585" t="s">
        <v>3</v>
      </c>
    </row>
    <row r="15586" spans="1:2" x14ac:dyDescent="0.2">
      <c r="A15586" t="str">
        <f>"SRPX2"</f>
        <v>SRPX2</v>
      </c>
      <c r="B15586" t="s">
        <v>3</v>
      </c>
    </row>
    <row r="15587" spans="1:2" x14ac:dyDescent="0.2">
      <c r="A15587" t="str">
        <f>"SRR"</f>
        <v>SRR</v>
      </c>
      <c r="B15587" t="s">
        <v>7</v>
      </c>
    </row>
    <row r="15588" spans="1:2" x14ac:dyDescent="0.2">
      <c r="A15588" t="str">
        <f>"SRRD"</f>
        <v>SRRD</v>
      </c>
      <c r="B15588" t="s">
        <v>4</v>
      </c>
    </row>
    <row r="15589" spans="1:2" x14ac:dyDescent="0.2">
      <c r="A15589" t="str">
        <f>"SRRM1"</f>
        <v>SRRM1</v>
      </c>
      <c r="B15589" t="s">
        <v>8</v>
      </c>
    </row>
    <row r="15590" spans="1:2" x14ac:dyDescent="0.2">
      <c r="A15590" t="str">
        <f>"SRRM2"</f>
        <v>SRRM2</v>
      </c>
      <c r="B15590" t="s">
        <v>8</v>
      </c>
    </row>
    <row r="15591" spans="1:2" x14ac:dyDescent="0.2">
      <c r="A15591" t="str">
        <f>"SRRM3"</f>
        <v>SRRM3</v>
      </c>
      <c r="B15591" t="s">
        <v>3</v>
      </c>
    </row>
    <row r="15592" spans="1:2" x14ac:dyDescent="0.2">
      <c r="A15592" t="str">
        <f>"SRRM4"</f>
        <v>SRRM4</v>
      </c>
      <c r="B15592" t="s">
        <v>4</v>
      </c>
    </row>
    <row r="15593" spans="1:2" x14ac:dyDescent="0.2">
      <c r="A15593" t="str">
        <f>"SRRM5"</f>
        <v>SRRM5</v>
      </c>
      <c r="B15593" t="s">
        <v>4</v>
      </c>
    </row>
    <row r="15594" spans="1:2" x14ac:dyDescent="0.2">
      <c r="A15594" t="str">
        <f>"SRRT"</f>
        <v>SRRT</v>
      </c>
      <c r="B15594" t="s">
        <v>8</v>
      </c>
    </row>
    <row r="15595" spans="1:2" x14ac:dyDescent="0.2">
      <c r="A15595" t="str">
        <f>"SRSF1"</f>
        <v>SRSF1</v>
      </c>
      <c r="B15595" t="s">
        <v>8</v>
      </c>
    </row>
    <row r="15596" spans="1:2" x14ac:dyDescent="0.2">
      <c r="A15596" t="str">
        <f>"SRSF10"</f>
        <v>SRSF10</v>
      </c>
      <c r="B15596" t="s">
        <v>8</v>
      </c>
    </row>
    <row r="15597" spans="1:2" x14ac:dyDescent="0.2">
      <c r="A15597" t="str">
        <f>"SRSF11"</f>
        <v>SRSF11</v>
      </c>
      <c r="B15597" t="s">
        <v>8</v>
      </c>
    </row>
    <row r="15598" spans="1:2" x14ac:dyDescent="0.2">
      <c r="A15598" t="str">
        <f>"SRSF12"</f>
        <v>SRSF12</v>
      </c>
      <c r="B15598" t="s">
        <v>8</v>
      </c>
    </row>
    <row r="15599" spans="1:2" x14ac:dyDescent="0.2">
      <c r="A15599" t="str">
        <f>"SRSF2"</f>
        <v>SRSF2</v>
      </c>
      <c r="B15599" t="s">
        <v>2</v>
      </c>
    </row>
    <row r="15600" spans="1:2" x14ac:dyDescent="0.2">
      <c r="A15600" t="str">
        <f>"SRSF3"</f>
        <v>SRSF3</v>
      </c>
      <c r="B15600" t="s">
        <v>3</v>
      </c>
    </row>
    <row r="15601" spans="1:2" x14ac:dyDescent="0.2">
      <c r="A15601" t="str">
        <f>"SRSF4"</f>
        <v>SRSF4</v>
      </c>
      <c r="B15601" t="s">
        <v>8</v>
      </c>
    </row>
    <row r="15602" spans="1:2" x14ac:dyDescent="0.2">
      <c r="A15602" t="str">
        <f>"SRSF5"</f>
        <v>SRSF5</v>
      </c>
      <c r="B15602" t="s">
        <v>8</v>
      </c>
    </row>
    <row r="15603" spans="1:2" x14ac:dyDescent="0.2">
      <c r="A15603" t="str">
        <f>"SRSF6"</f>
        <v>SRSF6</v>
      </c>
      <c r="B15603" t="s">
        <v>8</v>
      </c>
    </row>
    <row r="15604" spans="1:2" x14ac:dyDescent="0.2">
      <c r="A15604" t="str">
        <f>"SRSF7"</f>
        <v>SRSF7</v>
      </c>
      <c r="B15604" t="s">
        <v>8</v>
      </c>
    </row>
    <row r="15605" spans="1:2" x14ac:dyDescent="0.2">
      <c r="A15605" t="str">
        <f>"SRSF8"</f>
        <v>SRSF8</v>
      </c>
      <c r="B15605" t="s">
        <v>8</v>
      </c>
    </row>
    <row r="15606" spans="1:2" x14ac:dyDescent="0.2">
      <c r="A15606" t="str">
        <f>"SRSF9"</f>
        <v>SRSF9</v>
      </c>
      <c r="B15606" t="s">
        <v>8</v>
      </c>
    </row>
    <row r="15607" spans="1:2" x14ac:dyDescent="0.2">
      <c r="A15607" t="str">
        <f>"SRXN1"</f>
        <v>SRXN1</v>
      </c>
      <c r="B15607" t="s">
        <v>8</v>
      </c>
    </row>
    <row r="15608" spans="1:2" x14ac:dyDescent="0.2">
      <c r="A15608" t="str">
        <f>"SRY"</f>
        <v>SRY</v>
      </c>
      <c r="B15608" t="s">
        <v>8</v>
      </c>
    </row>
    <row r="15609" spans="1:2" x14ac:dyDescent="0.2">
      <c r="A15609" t="str">
        <f>"SS18"</f>
        <v>SS18</v>
      </c>
      <c r="B15609" t="s">
        <v>3</v>
      </c>
    </row>
    <row r="15610" spans="1:2" x14ac:dyDescent="0.2">
      <c r="A15610" t="str">
        <f>"SS18L1"</f>
        <v>SS18L1</v>
      </c>
      <c r="B15610" t="s">
        <v>3</v>
      </c>
    </row>
    <row r="15611" spans="1:2" x14ac:dyDescent="0.2">
      <c r="A15611" t="str">
        <f>"SS18L2"</f>
        <v>SS18L2</v>
      </c>
      <c r="B15611" t="s">
        <v>4</v>
      </c>
    </row>
    <row r="15612" spans="1:2" x14ac:dyDescent="0.2">
      <c r="A15612" t="str">
        <f>"SSB"</f>
        <v>SSB</v>
      </c>
      <c r="B15612" t="s">
        <v>7</v>
      </c>
    </row>
    <row r="15613" spans="1:2" x14ac:dyDescent="0.2">
      <c r="A15613" t="str">
        <f>"SSBP1"</f>
        <v>SSBP1</v>
      </c>
      <c r="B15613" t="s">
        <v>6</v>
      </c>
    </row>
    <row r="15614" spans="1:2" x14ac:dyDescent="0.2">
      <c r="A15614" t="str">
        <f>"SSBP2"</f>
        <v>SSBP2</v>
      </c>
      <c r="B15614" t="s">
        <v>8</v>
      </c>
    </row>
    <row r="15615" spans="1:2" x14ac:dyDescent="0.2">
      <c r="A15615" t="str">
        <f>"SSBP3"</f>
        <v>SSBP3</v>
      </c>
      <c r="B15615" t="s">
        <v>8</v>
      </c>
    </row>
    <row r="15616" spans="1:2" x14ac:dyDescent="0.2">
      <c r="A15616" t="str">
        <f>"SSBP4"</f>
        <v>SSBP4</v>
      </c>
      <c r="B15616" t="s">
        <v>8</v>
      </c>
    </row>
    <row r="15617" spans="1:2" x14ac:dyDescent="0.2">
      <c r="A15617" t="str">
        <f>"SSC5D"</f>
        <v>SSC5D</v>
      </c>
      <c r="B15617" t="s">
        <v>4</v>
      </c>
    </row>
    <row r="15618" spans="1:2" x14ac:dyDescent="0.2">
      <c r="A15618" t="str">
        <f>"SSFA2"</f>
        <v>SSFA2</v>
      </c>
      <c r="B15618" t="s">
        <v>4</v>
      </c>
    </row>
    <row r="15619" spans="1:2" x14ac:dyDescent="0.2">
      <c r="A15619" t="str">
        <f>"SSH1"</f>
        <v>SSH1</v>
      </c>
      <c r="B15619" t="s">
        <v>8</v>
      </c>
    </row>
    <row r="15620" spans="1:2" x14ac:dyDescent="0.2">
      <c r="A15620" t="str">
        <f>"SSH2"</f>
        <v>SSH2</v>
      </c>
      <c r="B15620" t="s">
        <v>7</v>
      </c>
    </row>
    <row r="15621" spans="1:2" x14ac:dyDescent="0.2">
      <c r="A15621" t="str">
        <f>"SSH3"</f>
        <v>SSH3</v>
      </c>
      <c r="B15621" t="s">
        <v>7</v>
      </c>
    </row>
    <row r="15622" spans="1:2" x14ac:dyDescent="0.2">
      <c r="A15622" t="str">
        <f>"SSMEM1"</f>
        <v>SSMEM1</v>
      </c>
      <c r="B15622" t="s">
        <v>5</v>
      </c>
    </row>
    <row r="15623" spans="1:2" x14ac:dyDescent="0.2">
      <c r="A15623" t="str">
        <f>"SSNA1"</f>
        <v>SSNA1</v>
      </c>
      <c r="B15623" t="s">
        <v>3</v>
      </c>
    </row>
    <row r="15624" spans="1:2" x14ac:dyDescent="0.2">
      <c r="A15624" t="str">
        <f>"SSPN"</f>
        <v>SSPN</v>
      </c>
      <c r="B15624" t="s">
        <v>2</v>
      </c>
    </row>
    <row r="15625" spans="1:2" x14ac:dyDescent="0.2">
      <c r="A15625" t="str">
        <f>"SSPO"</f>
        <v>SSPO</v>
      </c>
      <c r="B15625" t="s">
        <v>8</v>
      </c>
    </row>
    <row r="15626" spans="1:2" x14ac:dyDescent="0.2">
      <c r="A15626" t="str">
        <f>"SSR1"</f>
        <v>SSR1</v>
      </c>
      <c r="B15626" t="s">
        <v>2</v>
      </c>
    </row>
    <row r="15627" spans="1:2" x14ac:dyDescent="0.2">
      <c r="A15627" t="str">
        <f>"SSR2"</f>
        <v>SSR2</v>
      </c>
      <c r="B15627" t="s">
        <v>2</v>
      </c>
    </row>
    <row r="15628" spans="1:2" x14ac:dyDescent="0.2">
      <c r="A15628" t="str">
        <f>"SSR3"</f>
        <v>SSR3</v>
      </c>
      <c r="B15628" t="s">
        <v>2</v>
      </c>
    </row>
    <row r="15629" spans="1:2" x14ac:dyDescent="0.2">
      <c r="A15629" t="str">
        <f>"SSR4"</f>
        <v>SSR4</v>
      </c>
      <c r="B15629" t="s">
        <v>2</v>
      </c>
    </row>
    <row r="15630" spans="1:2" x14ac:dyDescent="0.2">
      <c r="A15630" t="str">
        <f>"SSRP1"</f>
        <v>SSRP1</v>
      </c>
      <c r="B15630" t="s">
        <v>3</v>
      </c>
    </row>
    <row r="15631" spans="1:2" x14ac:dyDescent="0.2">
      <c r="A15631" t="str">
        <f>"SSSCA1"</f>
        <v>SSSCA1</v>
      </c>
      <c r="B15631" t="s">
        <v>3</v>
      </c>
    </row>
    <row r="15632" spans="1:2" x14ac:dyDescent="0.2">
      <c r="A15632" t="str">
        <f>"SST"</f>
        <v>SST</v>
      </c>
      <c r="B15632" t="s">
        <v>7</v>
      </c>
    </row>
    <row r="15633" spans="1:2" x14ac:dyDescent="0.2">
      <c r="A15633" t="str">
        <f>"SSTR1"</f>
        <v>SSTR1</v>
      </c>
      <c r="B15633" t="s">
        <v>7</v>
      </c>
    </row>
    <row r="15634" spans="1:2" x14ac:dyDescent="0.2">
      <c r="A15634" t="str">
        <f>"SSTR2"</f>
        <v>SSTR2</v>
      </c>
      <c r="B15634" t="s">
        <v>7</v>
      </c>
    </row>
    <row r="15635" spans="1:2" x14ac:dyDescent="0.2">
      <c r="A15635" t="str">
        <f>"SSTR3"</f>
        <v>SSTR3</v>
      </c>
      <c r="B15635" t="s">
        <v>3</v>
      </c>
    </row>
    <row r="15636" spans="1:2" x14ac:dyDescent="0.2">
      <c r="A15636" t="str">
        <f>"SSTR4"</f>
        <v>SSTR4</v>
      </c>
      <c r="B15636" t="s">
        <v>5</v>
      </c>
    </row>
    <row r="15637" spans="1:2" x14ac:dyDescent="0.2">
      <c r="A15637" t="str">
        <f>"SSTR5"</f>
        <v>SSTR5</v>
      </c>
      <c r="B15637" t="s">
        <v>7</v>
      </c>
    </row>
    <row r="15638" spans="1:2" x14ac:dyDescent="0.2">
      <c r="A15638" t="str">
        <f>"SSU72"</f>
        <v>SSU72</v>
      </c>
      <c r="B15638" t="s">
        <v>8</v>
      </c>
    </row>
    <row r="15639" spans="1:2" x14ac:dyDescent="0.2">
      <c r="A15639" t="str">
        <f>"SSUH2"</f>
        <v>SSUH2</v>
      </c>
      <c r="B15639" t="s">
        <v>4</v>
      </c>
    </row>
    <row r="15640" spans="1:2" x14ac:dyDescent="0.2">
      <c r="A15640" t="str">
        <f>"SSX1"</f>
        <v>SSX1</v>
      </c>
      <c r="B15640" t="s">
        <v>3</v>
      </c>
    </row>
    <row r="15641" spans="1:2" x14ac:dyDescent="0.2">
      <c r="A15641" t="str">
        <f>"SSX2IP"</f>
        <v>SSX2IP</v>
      </c>
      <c r="B15641" t="s">
        <v>6</v>
      </c>
    </row>
    <row r="15642" spans="1:2" x14ac:dyDescent="0.2">
      <c r="A15642" t="str">
        <f>"SSX3"</f>
        <v>SSX3</v>
      </c>
      <c r="B15642" t="s">
        <v>8</v>
      </c>
    </row>
    <row r="15643" spans="1:2" x14ac:dyDescent="0.2">
      <c r="A15643" t="str">
        <f>"SSX4"</f>
        <v>SSX4</v>
      </c>
      <c r="B15643" t="s">
        <v>3</v>
      </c>
    </row>
    <row r="15644" spans="1:2" x14ac:dyDescent="0.2">
      <c r="A15644" t="str">
        <f>"SSX4B"</f>
        <v>SSX4B</v>
      </c>
      <c r="B15644" t="s">
        <v>8</v>
      </c>
    </row>
    <row r="15645" spans="1:2" x14ac:dyDescent="0.2">
      <c r="A15645" t="str">
        <f>"SSX7"</f>
        <v>SSX7</v>
      </c>
      <c r="B15645" t="s">
        <v>8</v>
      </c>
    </row>
    <row r="15646" spans="1:2" x14ac:dyDescent="0.2">
      <c r="A15646" t="str">
        <f>"ST13"</f>
        <v>ST13</v>
      </c>
      <c r="B15646" t="s">
        <v>2</v>
      </c>
    </row>
    <row r="15647" spans="1:2" x14ac:dyDescent="0.2">
      <c r="A15647" t="str">
        <f>"ST14"</f>
        <v>ST14</v>
      </c>
      <c r="B15647" t="s">
        <v>7</v>
      </c>
    </row>
    <row r="15648" spans="1:2" x14ac:dyDescent="0.2">
      <c r="A15648" t="str">
        <f>"ST18"</f>
        <v>ST18</v>
      </c>
      <c r="B15648" t="s">
        <v>8</v>
      </c>
    </row>
    <row r="15649" spans="1:2" x14ac:dyDescent="0.2">
      <c r="A15649" t="str">
        <f>"ST20"</f>
        <v>ST20</v>
      </c>
      <c r="B15649" t="s">
        <v>4</v>
      </c>
    </row>
    <row r="15650" spans="1:2" x14ac:dyDescent="0.2">
      <c r="A15650" t="str">
        <f>"ST20-MTHFS"</f>
        <v>ST20-MTHFS</v>
      </c>
      <c r="B15650" t="s">
        <v>4</v>
      </c>
    </row>
    <row r="15651" spans="1:2" x14ac:dyDescent="0.2">
      <c r="A15651" t="str">
        <f>"ST3GAL1"</f>
        <v>ST3GAL1</v>
      </c>
      <c r="B15651" t="s">
        <v>3</v>
      </c>
    </row>
    <row r="15652" spans="1:2" x14ac:dyDescent="0.2">
      <c r="A15652" t="str">
        <f>"ST3GAL2"</f>
        <v>ST3GAL2</v>
      </c>
      <c r="B15652" t="s">
        <v>5</v>
      </c>
    </row>
    <row r="15653" spans="1:2" x14ac:dyDescent="0.2">
      <c r="A15653" t="str">
        <f>"ST3GAL3"</f>
        <v>ST3GAL3</v>
      </c>
      <c r="B15653" t="s">
        <v>5</v>
      </c>
    </row>
    <row r="15654" spans="1:2" x14ac:dyDescent="0.2">
      <c r="A15654" t="str">
        <f>"ST3GAL4"</f>
        <v>ST3GAL4</v>
      </c>
      <c r="B15654" t="s">
        <v>6</v>
      </c>
    </row>
    <row r="15655" spans="1:2" x14ac:dyDescent="0.2">
      <c r="A15655" t="str">
        <f>"ST3GAL5"</f>
        <v>ST3GAL5</v>
      </c>
      <c r="B15655" t="s">
        <v>5</v>
      </c>
    </row>
    <row r="15656" spans="1:2" x14ac:dyDescent="0.2">
      <c r="A15656" t="str">
        <f>"ST3GAL6"</f>
        <v>ST3GAL6</v>
      </c>
      <c r="B15656" t="s">
        <v>2</v>
      </c>
    </row>
    <row r="15657" spans="1:2" x14ac:dyDescent="0.2">
      <c r="A15657" t="str">
        <f>"ST5"</f>
        <v>ST5</v>
      </c>
      <c r="B15657" t="s">
        <v>2</v>
      </c>
    </row>
    <row r="15658" spans="1:2" x14ac:dyDescent="0.2">
      <c r="A15658" t="str">
        <f>"ST6GAL1"</f>
        <v>ST6GAL1</v>
      </c>
      <c r="B15658" t="s">
        <v>3</v>
      </c>
    </row>
    <row r="15659" spans="1:2" x14ac:dyDescent="0.2">
      <c r="A15659" t="str">
        <f>"ST6GAL2"</f>
        <v>ST6GAL2</v>
      </c>
      <c r="B15659" t="s">
        <v>3</v>
      </c>
    </row>
    <row r="15660" spans="1:2" x14ac:dyDescent="0.2">
      <c r="A15660" t="str">
        <f>"ST6GALNAC1"</f>
        <v>ST6GALNAC1</v>
      </c>
      <c r="B15660" t="s">
        <v>2</v>
      </c>
    </row>
    <row r="15661" spans="1:2" x14ac:dyDescent="0.2">
      <c r="A15661" t="str">
        <f>"ST6GALNAC2"</f>
        <v>ST6GALNAC2</v>
      </c>
      <c r="B15661" t="s">
        <v>2</v>
      </c>
    </row>
    <row r="15662" spans="1:2" x14ac:dyDescent="0.2">
      <c r="A15662" t="str">
        <f>"ST6GALNAC3"</f>
        <v>ST6GALNAC3</v>
      </c>
      <c r="B15662" t="s">
        <v>5</v>
      </c>
    </row>
    <row r="15663" spans="1:2" x14ac:dyDescent="0.2">
      <c r="A15663" t="str">
        <f>"ST6GALNAC4"</f>
        <v>ST6GALNAC4</v>
      </c>
      <c r="B15663" t="s">
        <v>5</v>
      </c>
    </row>
    <row r="15664" spans="1:2" x14ac:dyDescent="0.2">
      <c r="A15664" t="str">
        <f>"ST6GALNAC5"</f>
        <v>ST6GALNAC5</v>
      </c>
      <c r="B15664" t="s">
        <v>3</v>
      </c>
    </row>
    <row r="15665" spans="1:2" x14ac:dyDescent="0.2">
      <c r="A15665" t="str">
        <f>"ST6GALNAC6"</f>
        <v>ST6GALNAC6</v>
      </c>
      <c r="B15665" t="s">
        <v>5</v>
      </c>
    </row>
    <row r="15666" spans="1:2" x14ac:dyDescent="0.2">
      <c r="A15666" t="str">
        <f>"ST7"</f>
        <v>ST7</v>
      </c>
      <c r="B15666" t="s">
        <v>5</v>
      </c>
    </row>
    <row r="15667" spans="1:2" x14ac:dyDescent="0.2">
      <c r="A15667" t="str">
        <f>"ST7L"</f>
        <v>ST7L</v>
      </c>
      <c r="B15667" t="s">
        <v>5</v>
      </c>
    </row>
    <row r="15668" spans="1:2" x14ac:dyDescent="0.2">
      <c r="A15668" t="str">
        <f>"ST8SIA1"</f>
        <v>ST8SIA1</v>
      </c>
      <c r="B15668" t="s">
        <v>5</v>
      </c>
    </row>
    <row r="15669" spans="1:2" x14ac:dyDescent="0.2">
      <c r="A15669" t="str">
        <f>"ST8SIA2"</f>
        <v>ST8SIA2</v>
      </c>
      <c r="B15669" t="s">
        <v>2</v>
      </c>
    </row>
    <row r="15670" spans="1:2" x14ac:dyDescent="0.2">
      <c r="A15670" t="str">
        <f>"ST8SIA3"</f>
        <v>ST8SIA3</v>
      </c>
      <c r="B15670" t="s">
        <v>6</v>
      </c>
    </row>
    <row r="15671" spans="1:2" x14ac:dyDescent="0.2">
      <c r="A15671" t="str">
        <f>"ST8SIA4"</f>
        <v>ST8SIA4</v>
      </c>
      <c r="B15671" t="s">
        <v>2</v>
      </c>
    </row>
    <row r="15672" spans="1:2" x14ac:dyDescent="0.2">
      <c r="A15672" t="str">
        <f>"ST8SIA5"</f>
        <v>ST8SIA5</v>
      </c>
      <c r="B15672" t="s">
        <v>5</v>
      </c>
    </row>
    <row r="15673" spans="1:2" x14ac:dyDescent="0.2">
      <c r="A15673" t="str">
        <f>"ST8SIA6"</f>
        <v>ST8SIA6</v>
      </c>
      <c r="B15673" t="s">
        <v>2</v>
      </c>
    </row>
    <row r="15674" spans="1:2" x14ac:dyDescent="0.2">
      <c r="A15674" t="str">
        <f>"STAB1"</f>
        <v>STAB1</v>
      </c>
      <c r="B15674" t="s">
        <v>2</v>
      </c>
    </row>
    <row r="15675" spans="1:2" x14ac:dyDescent="0.2">
      <c r="A15675" t="str">
        <f>"STAB2"</f>
        <v>STAB2</v>
      </c>
      <c r="B15675" t="s">
        <v>6</v>
      </c>
    </row>
    <row r="15676" spans="1:2" x14ac:dyDescent="0.2">
      <c r="A15676" t="str">
        <f>"STAC"</f>
        <v>STAC</v>
      </c>
      <c r="B15676" t="s">
        <v>4</v>
      </c>
    </row>
    <row r="15677" spans="1:2" x14ac:dyDescent="0.2">
      <c r="A15677" t="str">
        <f>"STAC2"</f>
        <v>STAC2</v>
      </c>
      <c r="B15677" t="s">
        <v>4</v>
      </c>
    </row>
    <row r="15678" spans="1:2" x14ac:dyDescent="0.2">
      <c r="A15678" t="str">
        <f>"STAC3"</f>
        <v>STAC3</v>
      </c>
      <c r="B15678" t="s">
        <v>3</v>
      </c>
    </row>
    <row r="15679" spans="1:2" x14ac:dyDescent="0.2">
      <c r="A15679" t="str">
        <f>"STAG1"</f>
        <v>STAG1</v>
      </c>
      <c r="B15679" t="s">
        <v>3</v>
      </c>
    </row>
    <row r="15680" spans="1:2" x14ac:dyDescent="0.2">
      <c r="A15680" t="str">
        <f>"STAG2"</f>
        <v>STAG2</v>
      </c>
      <c r="B15680" t="s">
        <v>3</v>
      </c>
    </row>
    <row r="15681" spans="1:2" x14ac:dyDescent="0.2">
      <c r="A15681" t="str">
        <f>"STAG3"</f>
        <v>STAG3</v>
      </c>
      <c r="B15681" t="s">
        <v>3</v>
      </c>
    </row>
    <row r="15682" spans="1:2" x14ac:dyDescent="0.2">
      <c r="A15682" t="str">
        <f>"STAM"</f>
        <v>STAM</v>
      </c>
      <c r="B15682" t="s">
        <v>2</v>
      </c>
    </row>
    <row r="15683" spans="1:2" x14ac:dyDescent="0.2">
      <c r="A15683" t="str">
        <f>"STAM2"</f>
        <v>STAM2</v>
      </c>
      <c r="B15683" t="s">
        <v>2</v>
      </c>
    </row>
    <row r="15684" spans="1:2" x14ac:dyDescent="0.2">
      <c r="A15684" t="str">
        <f>"STAMBP"</f>
        <v>STAMBP</v>
      </c>
      <c r="B15684" t="s">
        <v>2</v>
      </c>
    </row>
    <row r="15685" spans="1:2" x14ac:dyDescent="0.2">
      <c r="A15685" t="str">
        <f>"STAMBPL1"</f>
        <v>STAMBPL1</v>
      </c>
      <c r="B15685" t="s">
        <v>2</v>
      </c>
    </row>
    <row r="15686" spans="1:2" x14ac:dyDescent="0.2">
      <c r="A15686" t="str">
        <f>"STAP1"</f>
        <v>STAP1</v>
      </c>
      <c r="B15686" t="s">
        <v>6</v>
      </c>
    </row>
    <row r="15687" spans="1:2" x14ac:dyDescent="0.2">
      <c r="A15687" t="str">
        <f>"STAP2"</f>
        <v>STAP2</v>
      </c>
      <c r="B15687" t="s">
        <v>4</v>
      </c>
    </row>
    <row r="15688" spans="1:2" x14ac:dyDescent="0.2">
      <c r="A15688" t="str">
        <f>"STAR"</f>
        <v>STAR</v>
      </c>
      <c r="B15688" t="s">
        <v>6</v>
      </c>
    </row>
    <row r="15689" spans="1:2" x14ac:dyDescent="0.2">
      <c r="A15689" t="str">
        <f>"STARD10"</f>
        <v>STARD10</v>
      </c>
      <c r="B15689" t="s">
        <v>2</v>
      </c>
    </row>
    <row r="15690" spans="1:2" x14ac:dyDescent="0.2">
      <c r="A15690" t="str">
        <f>"STARD13"</f>
        <v>STARD13</v>
      </c>
      <c r="B15690" t="s">
        <v>3</v>
      </c>
    </row>
    <row r="15691" spans="1:2" x14ac:dyDescent="0.2">
      <c r="A15691" t="str">
        <f>"STARD3"</f>
        <v>STARD3</v>
      </c>
      <c r="B15691" t="s">
        <v>2</v>
      </c>
    </row>
    <row r="15692" spans="1:2" x14ac:dyDescent="0.2">
      <c r="A15692" t="str">
        <f>"STARD3NL"</f>
        <v>STARD3NL</v>
      </c>
      <c r="B15692" t="s">
        <v>6</v>
      </c>
    </row>
    <row r="15693" spans="1:2" x14ac:dyDescent="0.2">
      <c r="A15693" t="str">
        <f>"STARD4"</f>
        <v>STARD4</v>
      </c>
      <c r="B15693" t="s">
        <v>2</v>
      </c>
    </row>
    <row r="15694" spans="1:2" x14ac:dyDescent="0.2">
      <c r="A15694" t="str">
        <f>"STARD5"</f>
        <v>STARD5</v>
      </c>
      <c r="B15694" t="s">
        <v>6</v>
      </c>
    </row>
    <row r="15695" spans="1:2" x14ac:dyDescent="0.2">
      <c r="A15695" t="str">
        <f>"STARD6"</f>
        <v>STARD6</v>
      </c>
      <c r="B15695" t="s">
        <v>2</v>
      </c>
    </row>
    <row r="15696" spans="1:2" x14ac:dyDescent="0.2">
      <c r="A15696" t="str">
        <f>"STARD7"</f>
        <v>STARD7</v>
      </c>
      <c r="B15696" t="s">
        <v>6</v>
      </c>
    </row>
    <row r="15697" spans="1:2" x14ac:dyDescent="0.2">
      <c r="A15697" t="str">
        <f>"STARD8"</f>
        <v>STARD8</v>
      </c>
      <c r="B15697" t="s">
        <v>3</v>
      </c>
    </row>
    <row r="15698" spans="1:2" x14ac:dyDescent="0.2">
      <c r="A15698" t="str">
        <f>"STARD9"</f>
        <v>STARD9</v>
      </c>
      <c r="B15698" t="s">
        <v>6</v>
      </c>
    </row>
    <row r="15699" spans="1:2" x14ac:dyDescent="0.2">
      <c r="A15699" t="str">
        <f>"STAT1"</f>
        <v>STAT1</v>
      </c>
      <c r="B15699" t="s">
        <v>3</v>
      </c>
    </row>
    <row r="15700" spans="1:2" x14ac:dyDescent="0.2">
      <c r="A15700" t="str">
        <f>"STAT2"</f>
        <v>STAT2</v>
      </c>
      <c r="B15700" t="s">
        <v>8</v>
      </c>
    </row>
    <row r="15701" spans="1:2" x14ac:dyDescent="0.2">
      <c r="A15701" t="str">
        <f>"STAT3"</f>
        <v>STAT3</v>
      </c>
      <c r="B15701" t="s">
        <v>3</v>
      </c>
    </row>
    <row r="15702" spans="1:2" x14ac:dyDescent="0.2">
      <c r="A15702" t="str">
        <f>"STAT4"</f>
        <v>STAT4</v>
      </c>
      <c r="B15702" t="s">
        <v>3</v>
      </c>
    </row>
    <row r="15703" spans="1:2" x14ac:dyDescent="0.2">
      <c r="A15703" t="str">
        <f>"STAT5A"</f>
        <v>STAT5A</v>
      </c>
      <c r="B15703" t="s">
        <v>3</v>
      </c>
    </row>
    <row r="15704" spans="1:2" x14ac:dyDescent="0.2">
      <c r="A15704" t="str">
        <f>"STAT5B"</f>
        <v>STAT5B</v>
      </c>
      <c r="B15704" t="s">
        <v>3</v>
      </c>
    </row>
    <row r="15705" spans="1:2" x14ac:dyDescent="0.2">
      <c r="A15705" t="str">
        <f>"STAT6"</f>
        <v>STAT6</v>
      </c>
      <c r="B15705" t="s">
        <v>3</v>
      </c>
    </row>
    <row r="15706" spans="1:2" x14ac:dyDescent="0.2">
      <c r="A15706" t="str">
        <f>"STATH"</f>
        <v>STATH</v>
      </c>
      <c r="B15706" t="s">
        <v>4</v>
      </c>
    </row>
    <row r="15707" spans="1:2" x14ac:dyDescent="0.2">
      <c r="A15707" t="str">
        <f>"STAU1"</f>
        <v>STAU1</v>
      </c>
      <c r="B15707" t="s">
        <v>6</v>
      </c>
    </row>
    <row r="15708" spans="1:2" x14ac:dyDescent="0.2">
      <c r="A15708" t="str">
        <f>"STAU2"</f>
        <v>STAU2</v>
      </c>
      <c r="B15708" t="s">
        <v>2</v>
      </c>
    </row>
    <row r="15709" spans="1:2" x14ac:dyDescent="0.2">
      <c r="A15709" t="str">
        <f>"STBD1"</f>
        <v>STBD1</v>
      </c>
      <c r="B15709" t="s">
        <v>6</v>
      </c>
    </row>
    <row r="15710" spans="1:2" x14ac:dyDescent="0.2">
      <c r="A15710" t="str">
        <f>"STC1"</f>
        <v>STC1</v>
      </c>
      <c r="B15710" t="s">
        <v>4</v>
      </c>
    </row>
    <row r="15711" spans="1:2" x14ac:dyDescent="0.2">
      <c r="A15711" t="str">
        <f>"STC2"</f>
        <v>STC2</v>
      </c>
      <c r="B15711" t="s">
        <v>4</v>
      </c>
    </row>
    <row r="15712" spans="1:2" x14ac:dyDescent="0.2">
      <c r="A15712" t="str">
        <f>"STEAP1"</f>
        <v>STEAP1</v>
      </c>
      <c r="B15712" t="s">
        <v>2</v>
      </c>
    </row>
    <row r="15713" spans="1:2" x14ac:dyDescent="0.2">
      <c r="A15713" t="str">
        <f>"STEAP1B"</f>
        <v>STEAP1B</v>
      </c>
      <c r="B15713" t="s">
        <v>4</v>
      </c>
    </row>
    <row r="15714" spans="1:2" x14ac:dyDescent="0.2">
      <c r="A15714" t="str">
        <f>"STEAP2"</f>
        <v>STEAP2</v>
      </c>
      <c r="B15714" t="s">
        <v>2</v>
      </c>
    </row>
    <row r="15715" spans="1:2" x14ac:dyDescent="0.2">
      <c r="A15715" t="str">
        <f>"STEAP3"</f>
        <v>STEAP3</v>
      </c>
      <c r="B15715" t="s">
        <v>3</v>
      </c>
    </row>
    <row r="15716" spans="1:2" x14ac:dyDescent="0.2">
      <c r="A15716" t="str">
        <f>"STEAP4"</f>
        <v>STEAP4</v>
      </c>
      <c r="B15716" t="s">
        <v>5</v>
      </c>
    </row>
    <row r="15717" spans="1:2" x14ac:dyDescent="0.2">
      <c r="A15717" t="str">
        <f>"STH"</f>
        <v>STH</v>
      </c>
      <c r="B15717" t="s">
        <v>4</v>
      </c>
    </row>
    <row r="15718" spans="1:2" x14ac:dyDescent="0.2">
      <c r="A15718" t="str">
        <f>"STIL"</f>
        <v>STIL</v>
      </c>
      <c r="B15718" t="s">
        <v>3</v>
      </c>
    </row>
    <row r="15719" spans="1:2" x14ac:dyDescent="0.2">
      <c r="A15719" t="str">
        <f>"STIM1"</f>
        <v>STIM1</v>
      </c>
      <c r="B15719" t="s">
        <v>6</v>
      </c>
    </row>
    <row r="15720" spans="1:2" x14ac:dyDescent="0.2">
      <c r="A15720" t="str">
        <f>"STIM2"</f>
        <v>STIM2</v>
      </c>
      <c r="B15720" t="s">
        <v>6</v>
      </c>
    </row>
    <row r="15721" spans="1:2" x14ac:dyDescent="0.2">
      <c r="A15721" t="str">
        <f>"STIP1"</f>
        <v>STIP1</v>
      </c>
      <c r="B15721" t="s">
        <v>2</v>
      </c>
    </row>
    <row r="15722" spans="1:2" x14ac:dyDescent="0.2">
      <c r="A15722" t="str">
        <f>"STK10"</f>
        <v>STK10</v>
      </c>
      <c r="B15722" t="s">
        <v>7</v>
      </c>
    </row>
    <row r="15723" spans="1:2" x14ac:dyDescent="0.2">
      <c r="A15723" t="str">
        <f>"STK11"</f>
        <v>STK11</v>
      </c>
      <c r="B15723" t="s">
        <v>7</v>
      </c>
    </row>
    <row r="15724" spans="1:2" x14ac:dyDescent="0.2">
      <c r="A15724" t="str">
        <f>"STK11IP"</f>
        <v>STK11IP</v>
      </c>
      <c r="B15724" t="s">
        <v>7</v>
      </c>
    </row>
    <row r="15725" spans="1:2" x14ac:dyDescent="0.2">
      <c r="A15725" t="str">
        <f>"STK16"</f>
        <v>STK16</v>
      </c>
      <c r="B15725" t="s">
        <v>7</v>
      </c>
    </row>
    <row r="15726" spans="1:2" x14ac:dyDescent="0.2">
      <c r="A15726" t="str">
        <f>"STK17A"</f>
        <v>STK17A</v>
      </c>
      <c r="B15726" t="s">
        <v>7</v>
      </c>
    </row>
    <row r="15727" spans="1:2" x14ac:dyDescent="0.2">
      <c r="A15727" t="str">
        <f>"STK17B"</f>
        <v>STK17B</v>
      </c>
      <c r="B15727" t="s">
        <v>7</v>
      </c>
    </row>
    <row r="15728" spans="1:2" x14ac:dyDescent="0.2">
      <c r="A15728" t="str">
        <f>"STK19"</f>
        <v>STK19</v>
      </c>
      <c r="B15728" t="s">
        <v>7</v>
      </c>
    </row>
    <row r="15729" spans="1:2" x14ac:dyDescent="0.2">
      <c r="A15729" t="str">
        <f>"STK24"</f>
        <v>STK24</v>
      </c>
      <c r="B15729" t="s">
        <v>7</v>
      </c>
    </row>
    <row r="15730" spans="1:2" x14ac:dyDescent="0.2">
      <c r="A15730" t="str">
        <f>"STK25"</f>
        <v>STK25</v>
      </c>
      <c r="B15730" t="s">
        <v>7</v>
      </c>
    </row>
    <row r="15731" spans="1:2" x14ac:dyDescent="0.2">
      <c r="A15731" t="str">
        <f>"STK3"</f>
        <v>STK3</v>
      </c>
      <c r="B15731" t="s">
        <v>7</v>
      </c>
    </row>
    <row r="15732" spans="1:2" x14ac:dyDescent="0.2">
      <c r="A15732" t="str">
        <f>"STK31"</f>
        <v>STK31</v>
      </c>
      <c r="B15732" t="s">
        <v>7</v>
      </c>
    </row>
    <row r="15733" spans="1:2" x14ac:dyDescent="0.2">
      <c r="A15733" t="str">
        <f>"STK32A"</f>
        <v>STK32A</v>
      </c>
      <c r="B15733" t="s">
        <v>7</v>
      </c>
    </row>
    <row r="15734" spans="1:2" x14ac:dyDescent="0.2">
      <c r="A15734" t="str">
        <f>"STK32B"</f>
        <v>STK32B</v>
      </c>
      <c r="B15734" t="s">
        <v>7</v>
      </c>
    </row>
    <row r="15735" spans="1:2" x14ac:dyDescent="0.2">
      <c r="A15735" t="str">
        <f>"STK32C"</f>
        <v>STK32C</v>
      </c>
      <c r="B15735" t="s">
        <v>7</v>
      </c>
    </row>
    <row r="15736" spans="1:2" x14ac:dyDescent="0.2">
      <c r="A15736" t="str">
        <f>"STK33"</f>
        <v>STK33</v>
      </c>
      <c r="B15736" t="s">
        <v>7</v>
      </c>
    </row>
    <row r="15737" spans="1:2" x14ac:dyDescent="0.2">
      <c r="A15737" t="str">
        <f>"STK35"</f>
        <v>STK35</v>
      </c>
      <c r="B15737" t="s">
        <v>7</v>
      </c>
    </row>
    <row r="15738" spans="1:2" x14ac:dyDescent="0.2">
      <c r="A15738" t="str">
        <f>"STK36"</f>
        <v>STK36</v>
      </c>
      <c r="B15738" t="s">
        <v>7</v>
      </c>
    </row>
    <row r="15739" spans="1:2" x14ac:dyDescent="0.2">
      <c r="A15739" t="str">
        <f>"STK38"</f>
        <v>STK38</v>
      </c>
      <c r="B15739" t="s">
        <v>7</v>
      </c>
    </row>
    <row r="15740" spans="1:2" x14ac:dyDescent="0.2">
      <c r="A15740" t="str">
        <f>"STK38L"</f>
        <v>STK38L</v>
      </c>
      <c r="B15740" t="s">
        <v>7</v>
      </c>
    </row>
    <row r="15741" spans="1:2" x14ac:dyDescent="0.2">
      <c r="A15741" t="str">
        <f>"STK39"</f>
        <v>STK39</v>
      </c>
      <c r="B15741" t="s">
        <v>7</v>
      </c>
    </row>
    <row r="15742" spans="1:2" x14ac:dyDescent="0.2">
      <c r="A15742" t="str">
        <f>"STK4"</f>
        <v>STK4</v>
      </c>
      <c r="B15742" t="s">
        <v>7</v>
      </c>
    </row>
    <row r="15743" spans="1:2" x14ac:dyDescent="0.2">
      <c r="A15743" t="str">
        <f>"STK40"</f>
        <v>STK40</v>
      </c>
      <c r="B15743" t="s">
        <v>7</v>
      </c>
    </row>
    <row r="15744" spans="1:2" x14ac:dyDescent="0.2">
      <c r="A15744" t="str">
        <f>"STMN1"</f>
        <v>STMN1</v>
      </c>
      <c r="B15744" t="s">
        <v>5</v>
      </c>
    </row>
    <row r="15745" spans="1:2" x14ac:dyDescent="0.2">
      <c r="A15745" t="str">
        <f>"STMN2"</f>
        <v>STMN2</v>
      </c>
      <c r="B15745" t="s">
        <v>2</v>
      </c>
    </row>
    <row r="15746" spans="1:2" x14ac:dyDescent="0.2">
      <c r="A15746" t="str">
        <f>"STMN3"</f>
        <v>STMN3</v>
      </c>
      <c r="B15746" t="s">
        <v>2</v>
      </c>
    </row>
    <row r="15747" spans="1:2" x14ac:dyDescent="0.2">
      <c r="A15747" t="str">
        <f>"STMN4"</f>
        <v>STMN4</v>
      </c>
      <c r="B15747" t="s">
        <v>7</v>
      </c>
    </row>
    <row r="15748" spans="1:2" x14ac:dyDescent="0.2">
      <c r="A15748" t="str">
        <f>"STMND1"</f>
        <v>STMND1</v>
      </c>
      <c r="B15748" t="s">
        <v>4</v>
      </c>
    </row>
    <row r="15749" spans="1:2" x14ac:dyDescent="0.2">
      <c r="A15749" t="str">
        <f>"STOM"</f>
        <v>STOM</v>
      </c>
      <c r="B15749" t="s">
        <v>2</v>
      </c>
    </row>
    <row r="15750" spans="1:2" x14ac:dyDescent="0.2">
      <c r="A15750" t="str">
        <f>"STOML1"</f>
        <v>STOML1</v>
      </c>
      <c r="B15750" t="s">
        <v>6</v>
      </c>
    </row>
    <row r="15751" spans="1:2" x14ac:dyDescent="0.2">
      <c r="A15751" t="str">
        <f>"STOML2"</f>
        <v>STOML2</v>
      </c>
      <c r="B15751" t="s">
        <v>2</v>
      </c>
    </row>
    <row r="15752" spans="1:2" x14ac:dyDescent="0.2">
      <c r="A15752" t="str">
        <f>"STOML3"</f>
        <v>STOML3</v>
      </c>
      <c r="B15752" t="s">
        <v>2</v>
      </c>
    </row>
    <row r="15753" spans="1:2" x14ac:dyDescent="0.2">
      <c r="A15753" t="str">
        <f>"STON1"</f>
        <v>STON1</v>
      </c>
      <c r="B15753" t="s">
        <v>6</v>
      </c>
    </row>
    <row r="15754" spans="1:2" x14ac:dyDescent="0.2">
      <c r="A15754" t="str">
        <f>"STON1-GTF2A1L"</f>
        <v>STON1-GTF2A1L</v>
      </c>
      <c r="B15754" t="s">
        <v>2</v>
      </c>
    </row>
    <row r="15755" spans="1:2" x14ac:dyDescent="0.2">
      <c r="A15755" t="str">
        <f>"STON2"</f>
        <v>STON2</v>
      </c>
      <c r="B15755" t="s">
        <v>6</v>
      </c>
    </row>
    <row r="15756" spans="1:2" x14ac:dyDescent="0.2">
      <c r="A15756" t="str">
        <f>"STOX1"</f>
        <v>STOX1</v>
      </c>
      <c r="B15756" t="s">
        <v>8</v>
      </c>
    </row>
    <row r="15757" spans="1:2" x14ac:dyDescent="0.2">
      <c r="A15757" t="str">
        <f>"STOX2"</f>
        <v>STOX2</v>
      </c>
      <c r="B15757" t="s">
        <v>4</v>
      </c>
    </row>
    <row r="15758" spans="1:2" x14ac:dyDescent="0.2">
      <c r="A15758" t="str">
        <f>"STPG1"</f>
        <v>STPG1</v>
      </c>
      <c r="B15758" t="s">
        <v>4</v>
      </c>
    </row>
    <row r="15759" spans="1:2" x14ac:dyDescent="0.2">
      <c r="A15759" t="str">
        <f>"STPG2"</f>
        <v>STPG2</v>
      </c>
      <c r="B15759" t="s">
        <v>4</v>
      </c>
    </row>
    <row r="15760" spans="1:2" x14ac:dyDescent="0.2">
      <c r="A15760" t="str">
        <f>"STRA13"</f>
        <v>STRA13</v>
      </c>
      <c r="B15760" t="s">
        <v>2</v>
      </c>
    </row>
    <row r="15761" spans="1:2" x14ac:dyDescent="0.2">
      <c r="A15761" t="str">
        <f>"STRA6"</f>
        <v>STRA6</v>
      </c>
      <c r="B15761" t="s">
        <v>5</v>
      </c>
    </row>
    <row r="15762" spans="1:2" x14ac:dyDescent="0.2">
      <c r="A15762" t="str">
        <f>"STRA8"</f>
        <v>STRA8</v>
      </c>
      <c r="B15762" t="s">
        <v>3</v>
      </c>
    </row>
    <row r="15763" spans="1:2" x14ac:dyDescent="0.2">
      <c r="A15763" t="str">
        <f>"STRADA"</f>
        <v>STRADA</v>
      </c>
      <c r="B15763" t="s">
        <v>7</v>
      </c>
    </row>
    <row r="15764" spans="1:2" x14ac:dyDescent="0.2">
      <c r="A15764" t="str">
        <f>"STRADB"</f>
        <v>STRADB</v>
      </c>
      <c r="B15764" t="s">
        <v>7</v>
      </c>
    </row>
    <row r="15765" spans="1:2" x14ac:dyDescent="0.2">
      <c r="A15765" t="str">
        <f>"STRAP"</f>
        <v>STRAP</v>
      </c>
      <c r="B15765" t="s">
        <v>6</v>
      </c>
    </row>
    <row r="15766" spans="1:2" x14ac:dyDescent="0.2">
      <c r="A15766" t="str">
        <f>"STRBP"</f>
        <v>STRBP</v>
      </c>
      <c r="B15766" t="s">
        <v>8</v>
      </c>
    </row>
    <row r="15767" spans="1:2" x14ac:dyDescent="0.2">
      <c r="A15767" t="str">
        <f>"STRC"</f>
        <v>STRC</v>
      </c>
      <c r="B15767" t="s">
        <v>4</v>
      </c>
    </row>
    <row r="15768" spans="1:2" x14ac:dyDescent="0.2">
      <c r="A15768" t="str">
        <f>"STRIP1"</f>
        <v>STRIP1</v>
      </c>
      <c r="B15768" t="s">
        <v>4</v>
      </c>
    </row>
    <row r="15769" spans="1:2" x14ac:dyDescent="0.2">
      <c r="A15769" t="str">
        <f>"STRIP2"</f>
        <v>STRIP2</v>
      </c>
      <c r="B15769" t="s">
        <v>4</v>
      </c>
    </row>
    <row r="15770" spans="1:2" x14ac:dyDescent="0.2">
      <c r="A15770" t="str">
        <f>"STRN"</f>
        <v>STRN</v>
      </c>
      <c r="B15770" t="s">
        <v>4</v>
      </c>
    </row>
    <row r="15771" spans="1:2" x14ac:dyDescent="0.2">
      <c r="A15771" t="str">
        <f>"STRN3"</f>
        <v>STRN3</v>
      </c>
      <c r="B15771" t="s">
        <v>3</v>
      </c>
    </row>
    <row r="15772" spans="1:2" x14ac:dyDescent="0.2">
      <c r="A15772" t="str">
        <f>"STRN4"</f>
        <v>STRN4</v>
      </c>
      <c r="B15772" t="s">
        <v>4</v>
      </c>
    </row>
    <row r="15773" spans="1:2" x14ac:dyDescent="0.2">
      <c r="A15773" t="str">
        <f>"STS"</f>
        <v>STS</v>
      </c>
      <c r="B15773" t="s">
        <v>3</v>
      </c>
    </row>
    <row r="15774" spans="1:2" x14ac:dyDescent="0.2">
      <c r="A15774" t="str">
        <f>"STT3A"</f>
        <v>STT3A</v>
      </c>
      <c r="B15774" t="s">
        <v>3</v>
      </c>
    </row>
    <row r="15775" spans="1:2" x14ac:dyDescent="0.2">
      <c r="A15775" t="str">
        <f>"STT3B"</f>
        <v>STT3B</v>
      </c>
      <c r="B15775" t="s">
        <v>2</v>
      </c>
    </row>
    <row r="15776" spans="1:2" x14ac:dyDescent="0.2">
      <c r="A15776" t="str">
        <f>"STUB1"</f>
        <v>STUB1</v>
      </c>
      <c r="B15776" t="s">
        <v>2</v>
      </c>
    </row>
    <row r="15777" spans="1:2" x14ac:dyDescent="0.2">
      <c r="A15777" t="str">
        <f>"STX10"</f>
        <v>STX10</v>
      </c>
      <c r="B15777" t="s">
        <v>6</v>
      </c>
    </row>
    <row r="15778" spans="1:2" x14ac:dyDescent="0.2">
      <c r="A15778" t="str">
        <f>"STX11"</f>
        <v>STX11</v>
      </c>
      <c r="B15778" t="s">
        <v>6</v>
      </c>
    </row>
    <row r="15779" spans="1:2" x14ac:dyDescent="0.2">
      <c r="A15779" t="str">
        <f>"STX12"</f>
        <v>STX12</v>
      </c>
      <c r="B15779" t="s">
        <v>2</v>
      </c>
    </row>
    <row r="15780" spans="1:2" x14ac:dyDescent="0.2">
      <c r="A15780" t="str">
        <f>"STX16"</f>
        <v>STX16</v>
      </c>
      <c r="B15780" t="s">
        <v>6</v>
      </c>
    </row>
    <row r="15781" spans="1:2" x14ac:dyDescent="0.2">
      <c r="A15781" t="str">
        <f>"STX17"</f>
        <v>STX17</v>
      </c>
      <c r="B15781" t="s">
        <v>6</v>
      </c>
    </row>
    <row r="15782" spans="1:2" x14ac:dyDescent="0.2">
      <c r="A15782" t="str">
        <f>"STX18"</f>
        <v>STX18</v>
      </c>
      <c r="B15782" t="s">
        <v>2</v>
      </c>
    </row>
    <row r="15783" spans="1:2" x14ac:dyDescent="0.2">
      <c r="A15783" t="str">
        <f>"STX19"</f>
        <v>STX19</v>
      </c>
      <c r="B15783" t="s">
        <v>2</v>
      </c>
    </row>
    <row r="15784" spans="1:2" x14ac:dyDescent="0.2">
      <c r="A15784" t="str">
        <f>"STX1A"</f>
        <v>STX1A</v>
      </c>
      <c r="B15784" t="s">
        <v>6</v>
      </c>
    </row>
    <row r="15785" spans="1:2" x14ac:dyDescent="0.2">
      <c r="A15785" t="str">
        <f>"STX1B"</f>
        <v>STX1B</v>
      </c>
      <c r="B15785" t="s">
        <v>6</v>
      </c>
    </row>
    <row r="15786" spans="1:2" x14ac:dyDescent="0.2">
      <c r="A15786" t="str">
        <f>"STX2"</f>
        <v>STX2</v>
      </c>
      <c r="B15786" t="s">
        <v>2</v>
      </c>
    </row>
    <row r="15787" spans="1:2" x14ac:dyDescent="0.2">
      <c r="A15787" t="str">
        <f>"STX3"</f>
        <v>STX3</v>
      </c>
      <c r="B15787" t="s">
        <v>2</v>
      </c>
    </row>
    <row r="15788" spans="1:2" x14ac:dyDescent="0.2">
      <c r="A15788" t="str">
        <f>"STX4"</f>
        <v>STX4</v>
      </c>
      <c r="B15788" t="s">
        <v>2</v>
      </c>
    </row>
    <row r="15789" spans="1:2" x14ac:dyDescent="0.2">
      <c r="A15789" t="str">
        <f>"STX5"</f>
        <v>STX5</v>
      </c>
      <c r="B15789" t="s">
        <v>2</v>
      </c>
    </row>
    <row r="15790" spans="1:2" x14ac:dyDescent="0.2">
      <c r="A15790" t="str">
        <f>"STX6"</f>
        <v>STX6</v>
      </c>
      <c r="B15790" t="s">
        <v>2</v>
      </c>
    </row>
    <row r="15791" spans="1:2" x14ac:dyDescent="0.2">
      <c r="A15791" t="str">
        <f>"STX7"</f>
        <v>STX7</v>
      </c>
      <c r="B15791" t="s">
        <v>2</v>
      </c>
    </row>
    <row r="15792" spans="1:2" x14ac:dyDescent="0.2">
      <c r="A15792" t="str">
        <f>"STX8"</f>
        <v>STX8</v>
      </c>
      <c r="B15792" t="s">
        <v>6</v>
      </c>
    </row>
    <row r="15793" spans="1:2" x14ac:dyDescent="0.2">
      <c r="A15793" t="str">
        <f>"STXBP1"</f>
        <v>STXBP1</v>
      </c>
      <c r="B15793" t="s">
        <v>6</v>
      </c>
    </row>
    <row r="15794" spans="1:2" x14ac:dyDescent="0.2">
      <c r="A15794" t="str">
        <f>"STXBP2"</f>
        <v>STXBP2</v>
      </c>
      <c r="B15794" t="s">
        <v>6</v>
      </c>
    </row>
    <row r="15795" spans="1:2" x14ac:dyDescent="0.2">
      <c r="A15795" t="str">
        <f>"STXBP3"</f>
        <v>STXBP3</v>
      </c>
      <c r="B15795" t="s">
        <v>6</v>
      </c>
    </row>
    <row r="15796" spans="1:2" x14ac:dyDescent="0.2">
      <c r="A15796" t="str">
        <f>"STXBP4"</f>
        <v>STXBP4</v>
      </c>
      <c r="B15796" t="s">
        <v>4</v>
      </c>
    </row>
    <row r="15797" spans="1:2" x14ac:dyDescent="0.2">
      <c r="A15797" t="str">
        <f>"STXBP5"</f>
        <v>STXBP5</v>
      </c>
      <c r="B15797" t="s">
        <v>2</v>
      </c>
    </row>
    <row r="15798" spans="1:2" x14ac:dyDescent="0.2">
      <c r="A15798" t="str">
        <f>"STXBP5L"</f>
        <v>STXBP5L</v>
      </c>
      <c r="B15798" t="s">
        <v>6</v>
      </c>
    </row>
    <row r="15799" spans="1:2" x14ac:dyDescent="0.2">
      <c r="A15799" t="str">
        <f>"STXBP6"</f>
        <v>STXBP6</v>
      </c>
      <c r="B15799" t="s">
        <v>2</v>
      </c>
    </row>
    <row r="15800" spans="1:2" x14ac:dyDescent="0.2">
      <c r="A15800" t="str">
        <f>"STYK1"</f>
        <v>STYK1</v>
      </c>
      <c r="B15800" t="s">
        <v>7</v>
      </c>
    </row>
    <row r="15801" spans="1:2" x14ac:dyDescent="0.2">
      <c r="A15801" t="str">
        <f>"STYX"</f>
        <v>STYX</v>
      </c>
      <c r="B15801" t="s">
        <v>4</v>
      </c>
    </row>
    <row r="15802" spans="1:2" x14ac:dyDescent="0.2">
      <c r="A15802" t="str">
        <f>"STYXL1"</f>
        <v>STYXL1</v>
      </c>
      <c r="B15802" t="s">
        <v>7</v>
      </c>
    </row>
    <row r="15803" spans="1:2" x14ac:dyDescent="0.2">
      <c r="A15803" t="str">
        <f>"SUB1"</f>
        <v>SUB1</v>
      </c>
      <c r="B15803" t="s">
        <v>8</v>
      </c>
    </row>
    <row r="15804" spans="1:2" x14ac:dyDescent="0.2">
      <c r="A15804" t="str">
        <f>"SUCLA2"</f>
        <v>SUCLA2</v>
      </c>
      <c r="B15804" t="s">
        <v>7</v>
      </c>
    </row>
    <row r="15805" spans="1:2" x14ac:dyDescent="0.2">
      <c r="A15805" t="str">
        <f>"SUCLG1"</f>
        <v>SUCLG1</v>
      </c>
      <c r="B15805" t="s">
        <v>7</v>
      </c>
    </row>
    <row r="15806" spans="1:2" x14ac:dyDescent="0.2">
      <c r="A15806" t="str">
        <f>"SUCLG2"</f>
        <v>SUCLG2</v>
      </c>
      <c r="B15806" t="s">
        <v>7</v>
      </c>
    </row>
    <row r="15807" spans="1:2" x14ac:dyDescent="0.2">
      <c r="A15807" t="str">
        <f>"SUCNR1"</f>
        <v>SUCNR1</v>
      </c>
      <c r="B15807" t="s">
        <v>7</v>
      </c>
    </row>
    <row r="15808" spans="1:2" x14ac:dyDescent="0.2">
      <c r="A15808" t="str">
        <f>"SUCO"</f>
        <v>SUCO</v>
      </c>
      <c r="B15808" t="s">
        <v>5</v>
      </c>
    </row>
    <row r="15809" spans="1:2" x14ac:dyDescent="0.2">
      <c r="A15809" t="str">
        <f>"SUDS3"</f>
        <v>SUDS3</v>
      </c>
      <c r="B15809" t="s">
        <v>8</v>
      </c>
    </row>
    <row r="15810" spans="1:2" x14ac:dyDescent="0.2">
      <c r="A15810" t="str">
        <f>"SUFU"</f>
        <v>SUFU</v>
      </c>
      <c r="B15810" t="s">
        <v>3</v>
      </c>
    </row>
    <row r="15811" spans="1:2" x14ac:dyDescent="0.2">
      <c r="A15811" t="str">
        <f>"SUGP1"</f>
        <v>SUGP1</v>
      </c>
      <c r="B15811" t="s">
        <v>8</v>
      </c>
    </row>
    <row r="15812" spans="1:2" x14ac:dyDescent="0.2">
      <c r="A15812" t="str">
        <f>"SUGP2"</f>
        <v>SUGP2</v>
      </c>
      <c r="B15812" t="s">
        <v>8</v>
      </c>
    </row>
    <row r="15813" spans="1:2" x14ac:dyDescent="0.2">
      <c r="A15813" t="str">
        <f>"SUGT1"</f>
        <v>SUGT1</v>
      </c>
      <c r="B15813" t="s">
        <v>2</v>
      </c>
    </row>
    <row r="15814" spans="1:2" x14ac:dyDescent="0.2">
      <c r="A15814" t="str">
        <f>"SULF1"</f>
        <v>SULF1</v>
      </c>
      <c r="B15814" t="s">
        <v>3</v>
      </c>
    </row>
    <row r="15815" spans="1:2" x14ac:dyDescent="0.2">
      <c r="A15815" t="str">
        <f>"SULF2"</f>
        <v>SULF2</v>
      </c>
      <c r="B15815" t="s">
        <v>6</v>
      </c>
    </row>
    <row r="15816" spans="1:2" x14ac:dyDescent="0.2">
      <c r="A15816" t="str">
        <f>"SULT1A1"</f>
        <v>SULT1A1</v>
      </c>
      <c r="B15816" t="s">
        <v>7</v>
      </c>
    </row>
    <row r="15817" spans="1:2" x14ac:dyDescent="0.2">
      <c r="A15817" t="str">
        <f>"SULT1A2"</f>
        <v>SULT1A2</v>
      </c>
      <c r="B15817" t="s">
        <v>6</v>
      </c>
    </row>
    <row r="15818" spans="1:2" x14ac:dyDescent="0.2">
      <c r="A15818" t="str">
        <f>"SULT1A3"</f>
        <v>SULT1A3</v>
      </c>
      <c r="B15818" t="s">
        <v>6</v>
      </c>
    </row>
    <row r="15819" spans="1:2" x14ac:dyDescent="0.2">
      <c r="A15819" t="str">
        <f>"SULT1A4"</f>
        <v>SULT1A4</v>
      </c>
      <c r="B15819" t="s">
        <v>2</v>
      </c>
    </row>
    <row r="15820" spans="1:2" x14ac:dyDescent="0.2">
      <c r="A15820" t="str">
        <f>"SULT1B1"</f>
        <v>SULT1B1</v>
      </c>
      <c r="B15820" t="s">
        <v>7</v>
      </c>
    </row>
    <row r="15821" spans="1:2" x14ac:dyDescent="0.2">
      <c r="A15821" t="str">
        <f>"SULT1C2"</f>
        <v>SULT1C2</v>
      </c>
      <c r="B15821" t="s">
        <v>2</v>
      </c>
    </row>
    <row r="15822" spans="1:2" x14ac:dyDescent="0.2">
      <c r="A15822" t="str">
        <f>"SULT1C3"</f>
        <v>SULT1C3</v>
      </c>
      <c r="B15822" t="s">
        <v>2</v>
      </c>
    </row>
    <row r="15823" spans="1:2" x14ac:dyDescent="0.2">
      <c r="A15823" t="str">
        <f>"SULT1C4"</f>
        <v>SULT1C4</v>
      </c>
      <c r="B15823" t="s">
        <v>3</v>
      </c>
    </row>
    <row r="15824" spans="1:2" x14ac:dyDescent="0.2">
      <c r="A15824" t="str">
        <f>"SULT1E1"</f>
        <v>SULT1E1</v>
      </c>
      <c r="B15824" t="s">
        <v>3</v>
      </c>
    </row>
    <row r="15825" spans="1:2" x14ac:dyDescent="0.2">
      <c r="A15825" t="str">
        <f>"SULT2A1"</f>
        <v>SULT2A1</v>
      </c>
      <c r="B15825" t="s">
        <v>7</v>
      </c>
    </row>
    <row r="15826" spans="1:2" x14ac:dyDescent="0.2">
      <c r="A15826" t="str">
        <f>"SULT2B1"</f>
        <v>SULT2B1</v>
      </c>
      <c r="B15826" t="s">
        <v>3</v>
      </c>
    </row>
    <row r="15827" spans="1:2" x14ac:dyDescent="0.2">
      <c r="A15827" t="str">
        <f>"SULT4A1"</f>
        <v>SULT4A1</v>
      </c>
      <c r="B15827" t="s">
        <v>3</v>
      </c>
    </row>
    <row r="15828" spans="1:2" x14ac:dyDescent="0.2">
      <c r="A15828" t="str">
        <f>"SULT6B1"</f>
        <v>SULT6B1</v>
      </c>
      <c r="B15828" t="s">
        <v>4</v>
      </c>
    </row>
    <row r="15829" spans="1:2" x14ac:dyDescent="0.2">
      <c r="A15829" t="str">
        <f>"SUMF1"</f>
        <v>SUMF1</v>
      </c>
      <c r="B15829" t="s">
        <v>6</v>
      </c>
    </row>
    <row r="15830" spans="1:2" x14ac:dyDescent="0.2">
      <c r="A15830" t="str">
        <f>"SUMF2"</f>
        <v>SUMF2</v>
      </c>
      <c r="B15830" t="s">
        <v>2</v>
      </c>
    </row>
    <row r="15831" spans="1:2" x14ac:dyDescent="0.2">
      <c r="A15831" t="str">
        <f>"SUMO1"</f>
        <v>SUMO1</v>
      </c>
      <c r="B15831" t="s">
        <v>2</v>
      </c>
    </row>
    <row r="15832" spans="1:2" x14ac:dyDescent="0.2">
      <c r="A15832" t="str">
        <f>"SUMO2"</f>
        <v>SUMO2</v>
      </c>
      <c r="B15832" t="s">
        <v>2</v>
      </c>
    </row>
    <row r="15833" spans="1:2" x14ac:dyDescent="0.2">
      <c r="A15833" t="str">
        <f>"SUMO3"</f>
        <v>SUMO3</v>
      </c>
      <c r="B15833" t="s">
        <v>2</v>
      </c>
    </row>
    <row r="15834" spans="1:2" x14ac:dyDescent="0.2">
      <c r="A15834" t="str">
        <f>"SUMO4"</f>
        <v>SUMO4</v>
      </c>
      <c r="B15834" t="s">
        <v>2</v>
      </c>
    </row>
    <row r="15835" spans="1:2" x14ac:dyDescent="0.2">
      <c r="A15835" t="str">
        <f>"SUN1"</f>
        <v>SUN1</v>
      </c>
      <c r="B15835" t="s">
        <v>8</v>
      </c>
    </row>
    <row r="15836" spans="1:2" x14ac:dyDescent="0.2">
      <c r="A15836" t="str">
        <f>"SUN2"</f>
        <v>SUN2</v>
      </c>
      <c r="B15836" t="s">
        <v>2</v>
      </c>
    </row>
    <row r="15837" spans="1:2" x14ac:dyDescent="0.2">
      <c r="A15837" t="str">
        <f>"SUN3"</f>
        <v>SUN3</v>
      </c>
      <c r="B15837" t="s">
        <v>8</v>
      </c>
    </row>
    <row r="15838" spans="1:2" x14ac:dyDescent="0.2">
      <c r="A15838" t="str">
        <f>"SUN5"</f>
        <v>SUN5</v>
      </c>
      <c r="B15838" t="s">
        <v>4</v>
      </c>
    </row>
    <row r="15839" spans="1:2" x14ac:dyDescent="0.2">
      <c r="A15839" t="str">
        <f>"SUOX"</f>
        <v>SUOX</v>
      </c>
      <c r="B15839" t="s">
        <v>7</v>
      </c>
    </row>
    <row r="15840" spans="1:2" x14ac:dyDescent="0.2">
      <c r="A15840" t="str">
        <f>"SUPT16H"</f>
        <v>SUPT16H</v>
      </c>
      <c r="B15840" t="s">
        <v>3</v>
      </c>
    </row>
    <row r="15841" spans="1:2" x14ac:dyDescent="0.2">
      <c r="A15841" t="str">
        <f>"SUPT20H"</f>
        <v>SUPT20H</v>
      </c>
      <c r="B15841" t="s">
        <v>5</v>
      </c>
    </row>
    <row r="15842" spans="1:2" x14ac:dyDescent="0.2">
      <c r="A15842" t="str">
        <f>"SUPT3H"</f>
        <v>SUPT3H</v>
      </c>
      <c r="B15842" t="s">
        <v>8</v>
      </c>
    </row>
    <row r="15843" spans="1:2" x14ac:dyDescent="0.2">
      <c r="A15843" t="str">
        <f>"SUPT4H1"</f>
        <v>SUPT4H1</v>
      </c>
      <c r="B15843" t="s">
        <v>6</v>
      </c>
    </row>
    <row r="15844" spans="1:2" x14ac:dyDescent="0.2">
      <c r="A15844" t="str">
        <f>"SUPT5H"</f>
        <v>SUPT5H</v>
      </c>
      <c r="B15844" t="s">
        <v>3</v>
      </c>
    </row>
    <row r="15845" spans="1:2" x14ac:dyDescent="0.2">
      <c r="A15845" t="str">
        <f>"SUPT6H"</f>
        <v>SUPT6H</v>
      </c>
      <c r="B15845" t="s">
        <v>6</v>
      </c>
    </row>
    <row r="15846" spans="1:2" x14ac:dyDescent="0.2">
      <c r="A15846" t="str">
        <f>"SUPT7L"</f>
        <v>SUPT7L</v>
      </c>
      <c r="B15846" t="s">
        <v>8</v>
      </c>
    </row>
    <row r="15847" spans="1:2" x14ac:dyDescent="0.2">
      <c r="A15847" t="str">
        <f>"SUPV3L1"</f>
        <v>SUPV3L1</v>
      </c>
      <c r="B15847" t="s">
        <v>2</v>
      </c>
    </row>
    <row r="15848" spans="1:2" x14ac:dyDescent="0.2">
      <c r="A15848" t="str">
        <f>"SURF1"</f>
        <v>SURF1</v>
      </c>
      <c r="B15848" t="s">
        <v>6</v>
      </c>
    </row>
    <row r="15849" spans="1:2" x14ac:dyDescent="0.2">
      <c r="A15849" t="str">
        <f>"SURF2"</f>
        <v>SURF2</v>
      </c>
      <c r="B15849" t="s">
        <v>4</v>
      </c>
    </row>
    <row r="15850" spans="1:2" x14ac:dyDescent="0.2">
      <c r="A15850" t="str">
        <f>"SURF4"</f>
        <v>SURF4</v>
      </c>
      <c r="B15850" t="s">
        <v>6</v>
      </c>
    </row>
    <row r="15851" spans="1:2" x14ac:dyDescent="0.2">
      <c r="A15851" t="str">
        <f>"SURF6"</f>
        <v>SURF6</v>
      </c>
      <c r="B15851" t="s">
        <v>8</v>
      </c>
    </row>
    <row r="15852" spans="1:2" x14ac:dyDescent="0.2">
      <c r="A15852" t="str">
        <f>"SUSD1"</f>
        <v>SUSD1</v>
      </c>
      <c r="B15852" t="s">
        <v>5</v>
      </c>
    </row>
    <row r="15853" spans="1:2" x14ac:dyDescent="0.2">
      <c r="A15853" t="str">
        <f>"SUSD2"</f>
        <v>SUSD2</v>
      </c>
      <c r="B15853" t="s">
        <v>8</v>
      </c>
    </row>
    <row r="15854" spans="1:2" x14ac:dyDescent="0.2">
      <c r="A15854" t="str">
        <f>"SUSD3"</f>
        <v>SUSD3</v>
      </c>
      <c r="B15854" t="s">
        <v>5</v>
      </c>
    </row>
    <row r="15855" spans="1:2" x14ac:dyDescent="0.2">
      <c r="A15855" t="str">
        <f>"SUSD4"</f>
        <v>SUSD4</v>
      </c>
      <c r="B15855" t="s">
        <v>5</v>
      </c>
    </row>
    <row r="15856" spans="1:2" x14ac:dyDescent="0.2">
      <c r="A15856" t="str">
        <f>"SUSD5"</f>
        <v>SUSD5</v>
      </c>
      <c r="B15856" t="s">
        <v>5</v>
      </c>
    </row>
    <row r="15857" spans="1:2" x14ac:dyDescent="0.2">
      <c r="A15857" t="str">
        <f>"SUV39H1"</f>
        <v>SUV39H1</v>
      </c>
      <c r="B15857" t="s">
        <v>3</v>
      </c>
    </row>
    <row r="15858" spans="1:2" x14ac:dyDescent="0.2">
      <c r="A15858" t="str">
        <f>"SUV39H2"</f>
        <v>SUV39H2</v>
      </c>
      <c r="B15858" t="s">
        <v>3</v>
      </c>
    </row>
    <row r="15859" spans="1:2" x14ac:dyDescent="0.2">
      <c r="A15859" t="str">
        <f>"SUV420H1"</f>
        <v>SUV420H1</v>
      </c>
      <c r="B15859" t="s">
        <v>8</v>
      </c>
    </row>
    <row r="15860" spans="1:2" x14ac:dyDescent="0.2">
      <c r="A15860" t="str">
        <f>"SUV420H2"</f>
        <v>SUV420H2</v>
      </c>
      <c r="B15860" t="s">
        <v>8</v>
      </c>
    </row>
    <row r="15861" spans="1:2" x14ac:dyDescent="0.2">
      <c r="A15861" t="str">
        <f>"SUZ12"</f>
        <v>SUZ12</v>
      </c>
      <c r="B15861" t="s">
        <v>3</v>
      </c>
    </row>
    <row r="15862" spans="1:2" x14ac:dyDescent="0.2">
      <c r="A15862" t="str">
        <f>"SV2A"</f>
        <v>SV2A</v>
      </c>
      <c r="B15862" t="s">
        <v>7</v>
      </c>
    </row>
    <row r="15863" spans="1:2" x14ac:dyDescent="0.2">
      <c r="A15863" t="str">
        <f>"SV2B"</f>
        <v>SV2B</v>
      </c>
      <c r="B15863" t="s">
        <v>6</v>
      </c>
    </row>
    <row r="15864" spans="1:2" x14ac:dyDescent="0.2">
      <c r="A15864" t="str">
        <f>"SV2C"</f>
        <v>SV2C</v>
      </c>
      <c r="B15864" t="s">
        <v>2</v>
      </c>
    </row>
    <row r="15865" spans="1:2" x14ac:dyDescent="0.2">
      <c r="A15865" t="str">
        <f>"SVEP1"</f>
        <v>SVEP1</v>
      </c>
      <c r="B15865" t="s">
        <v>6</v>
      </c>
    </row>
    <row r="15866" spans="1:2" x14ac:dyDescent="0.2">
      <c r="A15866" t="str">
        <f>"SVIL"</f>
        <v>SVIL</v>
      </c>
      <c r="B15866" t="s">
        <v>6</v>
      </c>
    </row>
    <row r="15867" spans="1:2" x14ac:dyDescent="0.2">
      <c r="A15867" t="str">
        <f>"SVIP"</f>
        <v>SVIP</v>
      </c>
      <c r="B15867" t="s">
        <v>2</v>
      </c>
    </row>
    <row r="15868" spans="1:2" x14ac:dyDescent="0.2">
      <c r="A15868" t="str">
        <f>"SVOP"</f>
        <v>SVOP</v>
      </c>
      <c r="B15868" t="s">
        <v>6</v>
      </c>
    </row>
    <row r="15869" spans="1:2" x14ac:dyDescent="0.2">
      <c r="A15869" t="str">
        <f>"SVOPL"</f>
        <v>SVOPL</v>
      </c>
      <c r="B15869" t="s">
        <v>5</v>
      </c>
    </row>
    <row r="15870" spans="1:2" x14ac:dyDescent="0.2">
      <c r="A15870" t="str">
        <f>"SWAP70"</f>
        <v>SWAP70</v>
      </c>
      <c r="B15870" t="s">
        <v>8</v>
      </c>
    </row>
    <row r="15871" spans="1:2" x14ac:dyDescent="0.2">
      <c r="A15871" t="str">
        <f>"SWI5"</f>
        <v>SWI5</v>
      </c>
      <c r="B15871" t="s">
        <v>4</v>
      </c>
    </row>
    <row r="15872" spans="1:2" x14ac:dyDescent="0.2">
      <c r="A15872" t="str">
        <f>"SWSAP1"</f>
        <v>SWSAP1</v>
      </c>
      <c r="B15872" t="s">
        <v>3</v>
      </c>
    </row>
    <row r="15873" spans="1:2" x14ac:dyDescent="0.2">
      <c r="A15873" t="str">
        <f>"SWT1"</f>
        <v>SWT1</v>
      </c>
      <c r="B15873" t="s">
        <v>4</v>
      </c>
    </row>
    <row r="15874" spans="1:2" x14ac:dyDescent="0.2">
      <c r="A15874" t="str">
        <f>"SYAP1"</f>
        <v>SYAP1</v>
      </c>
      <c r="B15874" t="s">
        <v>4</v>
      </c>
    </row>
    <row r="15875" spans="1:2" x14ac:dyDescent="0.2">
      <c r="A15875" t="str">
        <f>"SYBU"</f>
        <v>SYBU</v>
      </c>
      <c r="B15875" t="s">
        <v>6</v>
      </c>
    </row>
    <row r="15876" spans="1:2" x14ac:dyDescent="0.2">
      <c r="A15876" t="str">
        <f>"SYCE1"</f>
        <v>SYCE1</v>
      </c>
      <c r="B15876" t="s">
        <v>3</v>
      </c>
    </row>
    <row r="15877" spans="1:2" x14ac:dyDescent="0.2">
      <c r="A15877" t="str">
        <f>"SYCE1L"</f>
        <v>SYCE1L</v>
      </c>
      <c r="B15877" t="s">
        <v>4</v>
      </c>
    </row>
    <row r="15878" spans="1:2" x14ac:dyDescent="0.2">
      <c r="A15878" t="str">
        <f>"SYCE2"</f>
        <v>SYCE2</v>
      </c>
      <c r="B15878" t="s">
        <v>4</v>
      </c>
    </row>
    <row r="15879" spans="1:2" x14ac:dyDescent="0.2">
      <c r="A15879" t="str">
        <f>"SYCE3"</f>
        <v>SYCE3</v>
      </c>
      <c r="B15879" t="s">
        <v>4</v>
      </c>
    </row>
    <row r="15880" spans="1:2" x14ac:dyDescent="0.2">
      <c r="A15880" t="str">
        <f>"SYCN"</f>
        <v>SYCN</v>
      </c>
      <c r="B15880" t="s">
        <v>2</v>
      </c>
    </row>
    <row r="15881" spans="1:2" x14ac:dyDescent="0.2">
      <c r="A15881" t="str">
        <f>"SYCP1"</f>
        <v>SYCP1</v>
      </c>
      <c r="B15881" t="s">
        <v>3</v>
      </c>
    </row>
    <row r="15882" spans="1:2" x14ac:dyDescent="0.2">
      <c r="A15882" t="str">
        <f>"SYCP2"</f>
        <v>SYCP2</v>
      </c>
      <c r="B15882" t="s">
        <v>3</v>
      </c>
    </row>
    <row r="15883" spans="1:2" x14ac:dyDescent="0.2">
      <c r="A15883" t="str">
        <f>"SYCP2L"</f>
        <v>SYCP2L</v>
      </c>
      <c r="B15883" t="s">
        <v>4</v>
      </c>
    </row>
    <row r="15884" spans="1:2" x14ac:dyDescent="0.2">
      <c r="A15884" t="str">
        <f>"SYCP3"</f>
        <v>SYCP3</v>
      </c>
      <c r="B15884" t="s">
        <v>3</v>
      </c>
    </row>
    <row r="15885" spans="1:2" x14ac:dyDescent="0.2">
      <c r="A15885" t="str">
        <f>"SYDE1"</f>
        <v>SYDE1</v>
      </c>
      <c r="B15885" t="s">
        <v>4</v>
      </c>
    </row>
    <row r="15886" spans="1:2" x14ac:dyDescent="0.2">
      <c r="A15886" t="str">
        <f>"SYDE2"</f>
        <v>SYDE2</v>
      </c>
      <c r="B15886" t="s">
        <v>4</v>
      </c>
    </row>
    <row r="15887" spans="1:2" x14ac:dyDescent="0.2">
      <c r="A15887" t="str">
        <f>"SYF2"</f>
        <v>SYF2</v>
      </c>
      <c r="B15887" t="s">
        <v>3</v>
      </c>
    </row>
    <row r="15888" spans="1:2" x14ac:dyDescent="0.2">
      <c r="A15888" t="str">
        <f>"SYK"</f>
        <v>SYK</v>
      </c>
      <c r="B15888" t="s">
        <v>7</v>
      </c>
    </row>
    <row r="15889" spans="1:2" x14ac:dyDescent="0.2">
      <c r="A15889" t="str">
        <f>"SYMPK"</f>
        <v>SYMPK</v>
      </c>
      <c r="B15889" t="s">
        <v>2</v>
      </c>
    </row>
    <row r="15890" spans="1:2" x14ac:dyDescent="0.2">
      <c r="A15890" t="str">
        <f>"SYN1"</f>
        <v>SYN1</v>
      </c>
      <c r="B15890" t="s">
        <v>7</v>
      </c>
    </row>
    <row r="15891" spans="1:2" x14ac:dyDescent="0.2">
      <c r="A15891" t="str">
        <f>"SYN2"</f>
        <v>SYN2</v>
      </c>
      <c r="B15891" t="s">
        <v>6</v>
      </c>
    </row>
    <row r="15892" spans="1:2" x14ac:dyDescent="0.2">
      <c r="A15892" t="str">
        <f>"SYN3"</f>
        <v>SYN3</v>
      </c>
      <c r="B15892" t="s">
        <v>6</v>
      </c>
    </row>
    <row r="15893" spans="1:2" x14ac:dyDescent="0.2">
      <c r="A15893" t="str">
        <f>"SYNC"</f>
        <v>SYNC</v>
      </c>
      <c r="B15893" t="s">
        <v>7</v>
      </c>
    </row>
    <row r="15894" spans="1:2" x14ac:dyDescent="0.2">
      <c r="A15894" t="str">
        <f>"SYNCRIP"</f>
        <v>SYNCRIP</v>
      </c>
      <c r="B15894" t="s">
        <v>2</v>
      </c>
    </row>
    <row r="15895" spans="1:2" x14ac:dyDescent="0.2">
      <c r="A15895" t="str">
        <f>"SYNDIG1"</f>
        <v>SYNDIG1</v>
      </c>
      <c r="B15895" t="s">
        <v>5</v>
      </c>
    </row>
    <row r="15896" spans="1:2" x14ac:dyDescent="0.2">
      <c r="A15896" t="str">
        <f>"SYNDIG1L"</f>
        <v>SYNDIG1L</v>
      </c>
      <c r="B15896" t="s">
        <v>5</v>
      </c>
    </row>
    <row r="15897" spans="1:2" x14ac:dyDescent="0.2">
      <c r="A15897" t="str">
        <f>"SYNE1"</f>
        <v>SYNE1</v>
      </c>
      <c r="B15897" t="s">
        <v>2</v>
      </c>
    </row>
    <row r="15898" spans="1:2" x14ac:dyDescent="0.2">
      <c r="A15898" t="str">
        <f>"SYNE2"</f>
        <v>SYNE2</v>
      </c>
      <c r="B15898" t="s">
        <v>6</v>
      </c>
    </row>
    <row r="15899" spans="1:2" x14ac:dyDescent="0.2">
      <c r="A15899" t="str">
        <f>"SYNE3"</f>
        <v>SYNE3</v>
      </c>
      <c r="B15899" t="s">
        <v>5</v>
      </c>
    </row>
    <row r="15900" spans="1:2" x14ac:dyDescent="0.2">
      <c r="A15900" t="str">
        <f>"SYNE4"</f>
        <v>SYNE4</v>
      </c>
      <c r="B15900" t="s">
        <v>5</v>
      </c>
    </row>
    <row r="15901" spans="1:2" x14ac:dyDescent="0.2">
      <c r="A15901" t="str">
        <f>"SYNGAP1"</f>
        <v>SYNGAP1</v>
      </c>
      <c r="B15901" t="s">
        <v>4</v>
      </c>
    </row>
    <row r="15902" spans="1:2" x14ac:dyDescent="0.2">
      <c r="A15902" t="str">
        <f>"SYNGR1"</f>
        <v>SYNGR1</v>
      </c>
      <c r="B15902" t="s">
        <v>6</v>
      </c>
    </row>
    <row r="15903" spans="1:2" x14ac:dyDescent="0.2">
      <c r="A15903" t="str">
        <f>"SYNGR2"</f>
        <v>SYNGR2</v>
      </c>
      <c r="B15903" t="s">
        <v>6</v>
      </c>
    </row>
    <row r="15904" spans="1:2" x14ac:dyDescent="0.2">
      <c r="A15904" t="str">
        <f>"SYNGR3"</f>
        <v>SYNGR3</v>
      </c>
      <c r="B15904" t="s">
        <v>5</v>
      </c>
    </row>
    <row r="15905" spans="1:2" x14ac:dyDescent="0.2">
      <c r="A15905" t="str">
        <f>"SYNGR4"</f>
        <v>SYNGR4</v>
      </c>
      <c r="B15905" t="s">
        <v>5</v>
      </c>
    </row>
    <row r="15906" spans="1:2" x14ac:dyDescent="0.2">
      <c r="A15906" t="str">
        <f>"SYNJ1"</f>
        <v>SYNJ1</v>
      </c>
      <c r="B15906" t="s">
        <v>6</v>
      </c>
    </row>
    <row r="15907" spans="1:2" x14ac:dyDescent="0.2">
      <c r="A15907" t="str">
        <f>"SYNJ2"</f>
        <v>SYNJ2</v>
      </c>
      <c r="B15907" t="s">
        <v>3</v>
      </c>
    </row>
    <row r="15908" spans="1:2" x14ac:dyDescent="0.2">
      <c r="A15908" t="str">
        <f>"SYNJ2BP"</f>
        <v>SYNJ2BP</v>
      </c>
      <c r="B15908" t="s">
        <v>6</v>
      </c>
    </row>
    <row r="15909" spans="1:2" x14ac:dyDescent="0.2">
      <c r="A15909" t="str">
        <f>"SYNJ2BP-COX16"</f>
        <v>SYNJ2BP-COX16</v>
      </c>
      <c r="B15909" t="s">
        <v>4</v>
      </c>
    </row>
    <row r="15910" spans="1:2" x14ac:dyDescent="0.2">
      <c r="A15910" t="str">
        <f>"SYNM"</f>
        <v>SYNM</v>
      </c>
      <c r="B15910" t="s">
        <v>6</v>
      </c>
    </row>
    <row r="15911" spans="1:2" x14ac:dyDescent="0.2">
      <c r="A15911" t="str">
        <f>"SYNPO"</f>
        <v>SYNPO</v>
      </c>
      <c r="B15911" t="s">
        <v>6</v>
      </c>
    </row>
    <row r="15912" spans="1:2" x14ac:dyDescent="0.2">
      <c r="A15912" t="str">
        <f>"SYNPO2"</f>
        <v>SYNPO2</v>
      </c>
      <c r="B15912" t="s">
        <v>4</v>
      </c>
    </row>
    <row r="15913" spans="1:2" x14ac:dyDescent="0.2">
      <c r="A15913" t="str">
        <f>"SYNPO2L"</f>
        <v>SYNPO2L</v>
      </c>
      <c r="B15913" t="s">
        <v>6</v>
      </c>
    </row>
    <row r="15914" spans="1:2" x14ac:dyDescent="0.2">
      <c r="A15914" t="str">
        <f>"SYNPR"</f>
        <v>SYNPR</v>
      </c>
      <c r="B15914" t="s">
        <v>6</v>
      </c>
    </row>
    <row r="15915" spans="1:2" x14ac:dyDescent="0.2">
      <c r="A15915" t="str">
        <f>"SYNRG"</f>
        <v>SYNRG</v>
      </c>
      <c r="B15915" t="s">
        <v>2</v>
      </c>
    </row>
    <row r="15916" spans="1:2" x14ac:dyDescent="0.2">
      <c r="A15916" t="str">
        <f>"SYP"</f>
        <v>SYP</v>
      </c>
      <c r="B15916" t="s">
        <v>3</v>
      </c>
    </row>
    <row r="15917" spans="1:2" x14ac:dyDescent="0.2">
      <c r="A15917" t="str">
        <f>"SYPL1"</f>
        <v>SYPL1</v>
      </c>
      <c r="B15917" t="s">
        <v>6</v>
      </c>
    </row>
    <row r="15918" spans="1:2" x14ac:dyDescent="0.2">
      <c r="A15918" t="str">
        <f>"SYPL2"</f>
        <v>SYPL2</v>
      </c>
      <c r="B15918" t="s">
        <v>5</v>
      </c>
    </row>
    <row r="15919" spans="1:2" x14ac:dyDescent="0.2">
      <c r="A15919" t="str">
        <f>"SYS1"</f>
        <v>SYS1</v>
      </c>
      <c r="B15919" t="s">
        <v>5</v>
      </c>
    </row>
    <row r="15920" spans="1:2" x14ac:dyDescent="0.2">
      <c r="A15920" t="str">
        <f>"SYT1"</f>
        <v>SYT1</v>
      </c>
      <c r="B15920" t="s">
        <v>6</v>
      </c>
    </row>
    <row r="15921" spans="1:2" x14ac:dyDescent="0.2">
      <c r="A15921" t="str">
        <f>"SYT10"</f>
        <v>SYT10</v>
      </c>
      <c r="B15921" t="s">
        <v>2</v>
      </c>
    </row>
    <row r="15922" spans="1:2" x14ac:dyDescent="0.2">
      <c r="A15922" t="str">
        <f>"SYT11"</f>
        <v>SYT11</v>
      </c>
      <c r="B15922" t="s">
        <v>2</v>
      </c>
    </row>
    <row r="15923" spans="1:2" x14ac:dyDescent="0.2">
      <c r="A15923" t="str">
        <f>"SYT12"</f>
        <v>SYT12</v>
      </c>
      <c r="B15923" t="s">
        <v>6</v>
      </c>
    </row>
    <row r="15924" spans="1:2" x14ac:dyDescent="0.2">
      <c r="A15924" t="str">
        <f>"SYT13"</f>
        <v>SYT13</v>
      </c>
      <c r="B15924" t="s">
        <v>2</v>
      </c>
    </row>
    <row r="15925" spans="1:2" x14ac:dyDescent="0.2">
      <c r="A15925" t="str">
        <f>"SYT14"</f>
        <v>SYT14</v>
      </c>
      <c r="B15925" t="s">
        <v>6</v>
      </c>
    </row>
    <row r="15926" spans="1:2" x14ac:dyDescent="0.2">
      <c r="A15926" t="str">
        <f>"SYT15"</f>
        <v>SYT15</v>
      </c>
      <c r="B15926" t="s">
        <v>6</v>
      </c>
    </row>
    <row r="15927" spans="1:2" x14ac:dyDescent="0.2">
      <c r="A15927" t="str">
        <f>"SYT16"</f>
        <v>SYT16</v>
      </c>
      <c r="B15927" t="s">
        <v>6</v>
      </c>
    </row>
    <row r="15928" spans="1:2" x14ac:dyDescent="0.2">
      <c r="A15928" t="str">
        <f>"SYT17"</f>
        <v>SYT17</v>
      </c>
      <c r="B15928" t="s">
        <v>6</v>
      </c>
    </row>
    <row r="15929" spans="1:2" x14ac:dyDescent="0.2">
      <c r="A15929" t="str">
        <f>"SYT2"</f>
        <v>SYT2</v>
      </c>
      <c r="B15929" t="s">
        <v>7</v>
      </c>
    </row>
    <row r="15930" spans="1:2" x14ac:dyDescent="0.2">
      <c r="A15930" t="str">
        <f>"SYT3"</f>
        <v>SYT3</v>
      </c>
      <c r="B15930" t="s">
        <v>6</v>
      </c>
    </row>
    <row r="15931" spans="1:2" x14ac:dyDescent="0.2">
      <c r="A15931" t="str">
        <f>"SYT4"</f>
        <v>SYT4</v>
      </c>
      <c r="B15931" t="s">
        <v>6</v>
      </c>
    </row>
    <row r="15932" spans="1:2" x14ac:dyDescent="0.2">
      <c r="A15932" t="str">
        <f>"SYT5"</f>
        <v>SYT5</v>
      </c>
      <c r="B15932" t="s">
        <v>6</v>
      </c>
    </row>
    <row r="15933" spans="1:2" x14ac:dyDescent="0.2">
      <c r="A15933" t="str">
        <f>"SYT6"</f>
        <v>SYT6</v>
      </c>
      <c r="B15933" t="s">
        <v>2</v>
      </c>
    </row>
    <row r="15934" spans="1:2" x14ac:dyDescent="0.2">
      <c r="A15934" t="str">
        <f>"SYT7"</f>
        <v>SYT7</v>
      </c>
      <c r="B15934" t="s">
        <v>2</v>
      </c>
    </row>
    <row r="15935" spans="1:2" x14ac:dyDescent="0.2">
      <c r="A15935" t="str">
        <f>"SYT8"</f>
        <v>SYT8</v>
      </c>
      <c r="B15935" t="s">
        <v>6</v>
      </c>
    </row>
    <row r="15936" spans="1:2" x14ac:dyDescent="0.2">
      <c r="A15936" t="str">
        <f>"SYT9"</f>
        <v>SYT9</v>
      </c>
      <c r="B15936" t="s">
        <v>2</v>
      </c>
    </row>
    <row r="15937" spans="1:2" x14ac:dyDescent="0.2">
      <c r="A15937" t="str">
        <f>"SYTL1"</f>
        <v>SYTL1</v>
      </c>
      <c r="B15937" t="s">
        <v>2</v>
      </c>
    </row>
    <row r="15938" spans="1:2" x14ac:dyDescent="0.2">
      <c r="A15938" t="str">
        <f>"SYTL2"</f>
        <v>SYTL2</v>
      </c>
      <c r="B15938" t="s">
        <v>6</v>
      </c>
    </row>
    <row r="15939" spans="1:2" x14ac:dyDescent="0.2">
      <c r="A15939" t="str">
        <f>"SYTL3"</f>
        <v>SYTL3</v>
      </c>
      <c r="B15939" t="s">
        <v>6</v>
      </c>
    </row>
    <row r="15940" spans="1:2" x14ac:dyDescent="0.2">
      <c r="A15940" t="str">
        <f>"SYTL4"</f>
        <v>SYTL4</v>
      </c>
      <c r="B15940" t="s">
        <v>7</v>
      </c>
    </row>
    <row r="15941" spans="1:2" x14ac:dyDescent="0.2">
      <c r="A15941" t="str">
        <f>"SYTL5"</f>
        <v>SYTL5</v>
      </c>
      <c r="B15941" t="s">
        <v>6</v>
      </c>
    </row>
    <row r="15942" spans="1:2" x14ac:dyDescent="0.2">
      <c r="A15942" t="str">
        <f>"SYVN1"</f>
        <v>SYVN1</v>
      </c>
      <c r="B15942" t="s">
        <v>2</v>
      </c>
    </row>
    <row r="15943" spans="1:2" x14ac:dyDescent="0.2">
      <c r="A15943" t="str">
        <f>"SZRD1"</f>
        <v>SZRD1</v>
      </c>
      <c r="B15943" t="s">
        <v>4</v>
      </c>
    </row>
    <row r="15944" spans="1:2" x14ac:dyDescent="0.2">
      <c r="A15944" t="str">
        <f>"SZT2"</f>
        <v>SZT2</v>
      </c>
      <c r="B15944" t="s">
        <v>3</v>
      </c>
    </row>
    <row r="15945" spans="1:2" x14ac:dyDescent="0.2">
      <c r="A15945" t="str">
        <f>"T"</f>
        <v>T</v>
      </c>
      <c r="B15945" t="s">
        <v>8</v>
      </c>
    </row>
    <row r="15946" spans="1:2" x14ac:dyDescent="0.2">
      <c r="A15946" t="str">
        <f>"TAAR1"</f>
        <v>TAAR1</v>
      </c>
      <c r="B15946" t="s">
        <v>7</v>
      </c>
    </row>
    <row r="15947" spans="1:2" x14ac:dyDescent="0.2">
      <c r="A15947" t="str">
        <f>"TAAR2"</f>
        <v>TAAR2</v>
      </c>
      <c r="B15947" t="s">
        <v>5</v>
      </c>
    </row>
    <row r="15948" spans="1:2" x14ac:dyDescent="0.2">
      <c r="A15948" t="str">
        <f>"TAAR5"</f>
        <v>TAAR5</v>
      </c>
      <c r="B15948" t="s">
        <v>5</v>
      </c>
    </row>
    <row r="15949" spans="1:2" x14ac:dyDescent="0.2">
      <c r="A15949" t="str">
        <f>"TAAR6"</f>
        <v>TAAR6</v>
      </c>
      <c r="B15949" t="s">
        <v>5</v>
      </c>
    </row>
    <row r="15950" spans="1:2" x14ac:dyDescent="0.2">
      <c r="A15950" t="str">
        <f>"TAAR8"</f>
        <v>TAAR8</v>
      </c>
      <c r="B15950" t="s">
        <v>5</v>
      </c>
    </row>
    <row r="15951" spans="1:2" x14ac:dyDescent="0.2">
      <c r="A15951" t="str">
        <f>"TAAR9"</f>
        <v>TAAR9</v>
      </c>
      <c r="B15951" t="s">
        <v>5</v>
      </c>
    </row>
    <row r="15952" spans="1:2" x14ac:dyDescent="0.2">
      <c r="A15952" t="str">
        <f>"TAB1"</f>
        <v>TAB1</v>
      </c>
      <c r="B15952" t="s">
        <v>7</v>
      </c>
    </row>
    <row r="15953" spans="1:2" x14ac:dyDescent="0.2">
      <c r="A15953" t="str">
        <f>"TAB2"</f>
        <v>TAB2</v>
      </c>
      <c r="B15953" t="s">
        <v>7</v>
      </c>
    </row>
    <row r="15954" spans="1:2" x14ac:dyDescent="0.2">
      <c r="A15954" t="str">
        <f>"TAB3"</f>
        <v>TAB3</v>
      </c>
      <c r="B15954" t="s">
        <v>2</v>
      </c>
    </row>
    <row r="15955" spans="1:2" x14ac:dyDescent="0.2">
      <c r="A15955" t="str">
        <f>"TAC1"</f>
        <v>TAC1</v>
      </c>
      <c r="B15955" t="s">
        <v>3</v>
      </c>
    </row>
    <row r="15956" spans="1:2" x14ac:dyDescent="0.2">
      <c r="A15956" t="str">
        <f>"TAC3"</f>
        <v>TAC3</v>
      </c>
      <c r="B15956" t="s">
        <v>4</v>
      </c>
    </row>
    <row r="15957" spans="1:2" x14ac:dyDescent="0.2">
      <c r="A15957" t="str">
        <f>"TAC4"</f>
        <v>TAC4</v>
      </c>
      <c r="B15957" t="s">
        <v>4</v>
      </c>
    </row>
    <row r="15958" spans="1:2" x14ac:dyDescent="0.2">
      <c r="A15958" t="str">
        <f>"TACC1"</f>
        <v>TACC1</v>
      </c>
      <c r="B15958" t="s">
        <v>3</v>
      </c>
    </row>
    <row r="15959" spans="1:2" x14ac:dyDescent="0.2">
      <c r="A15959" t="str">
        <f>"TACC2"</f>
        <v>TACC2</v>
      </c>
      <c r="B15959" t="s">
        <v>3</v>
      </c>
    </row>
    <row r="15960" spans="1:2" x14ac:dyDescent="0.2">
      <c r="A15960" t="str">
        <f>"TACC3"</f>
        <v>TACC3</v>
      </c>
      <c r="B15960" t="s">
        <v>3</v>
      </c>
    </row>
    <row r="15961" spans="1:2" x14ac:dyDescent="0.2">
      <c r="A15961" t="str">
        <f>"TACO1"</f>
        <v>TACO1</v>
      </c>
      <c r="B15961" t="s">
        <v>6</v>
      </c>
    </row>
    <row r="15962" spans="1:2" x14ac:dyDescent="0.2">
      <c r="A15962" t="str">
        <f>"TACR1"</f>
        <v>TACR1</v>
      </c>
      <c r="B15962" t="s">
        <v>7</v>
      </c>
    </row>
    <row r="15963" spans="1:2" x14ac:dyDescent="0.2">
      <c r="A15963" t="str">
        <f>"TACR2"</f>
        <v>TACR2</v>
      </c>
      <c r="B15963" t="s">
        <v>2</v>
      </c>
    </row>
    <row r="15964" spans="1:2" x14ac:dyDescent="0.2">
      <c r="A15964" t="str">
        <f>"TACR3"</f>
        <v>TACR3</v>
      </c>
      <c r="B15964" t="s">
        <v>3</v>
      </c>
    </row>
    <row r="15965" spans="1:2" x14ac:dyDescent="0.2">
      <c r="A15965" t="str">
        <f>"TACSTD2"</f>
        <v>TACSTD2</v>
      </c>
      <c r="B15965" t="s">
        <v>5</v>
      </c>
    </row>
    <row r="15966" spans="1:2" x14ac:dyDescent="0.2">
      <c r="A15966" t="str">
        <f>"TADA1"</f>
        <v>TADA1</v>
      </c>
      <c r="B15966" t="s">
        <v>4</v>
      </c>
    </row>
    <row r="15967" spans="1:2" x14ac:dyDescent="0.2">
      <c r="A15967" t="str">
        <f>"TADA2A"</f>
        <v>TADA2A</v>
      </c>
      <c r="B15967" t="s">
        <v>8</v>
      </c>
    </row>
    <row r="15968" spans="1:2" x14ac:dyDescent="0.2">
      <c r="A15968" t="str">
        <f>"TADA2B"</f>
        <v>TADA2B</v>
      </c>
      <c r="B15968" t="s">
        <v>8</v>
      </c>
    </row>
    <row r="15969" spans="1:2" x14ac:dyDescent="0.2">
      <c r="A15969" t="str">
        <f>"TADA3"</f>
        <v>TADA3</v>
      </c>
      <c r="B15969" t="s">
        <v>8</v>
      </c>
    </row>
    <row r="15970" spans="1:2" x14ac:dyDescent="0.2">
      <c r="A15970" t="str">
        <f>"TAF1"</f>
        <v>TAF1</v>
      </c>
      <c r="B15970" t="s">
        <v>7</v>
      </c>
    </row>
    <row r="15971" spans="1:2" x14ac:dyDescent="0.2">
      <c r="A15971" t="str">
        <f>"TAF10"</f>
        <v>TAF10</v>
      </c>
      <c r="B15971" t="s">
        <v>3</v>
      </c>
    </row>
    <row r="15972" spans="1:2" x14ac:dyDescent="0.2">
      <c r="A15972" t="str">
        <f>"TAF11"</f>
        <v>TAF11</v>
      </c>
      <c r="B15972" t="s">
        <v>3</v>
      </c>
    </row>
    <row r="15973" spans="1:2" x14ac:dyDescent="0.2">
      <c r="A15973" t="str">
        <f>"TAF12"</f>
        <v>TAF12</v>
      </c>
      <c r="B15973" t="s">
        <v>3</v>
      </c>
    </row>
    <row r="15974" spans="1:2" x14ac:dyDescent="0.2">
      <c r="A15974" t="str">
        <f>"TAF13"</f>
        <v>TAF13</v>
      </c>
      <c r="B15974" t="s">
        <v>8</v>
      </c>
    </row>
    <row r="15975" spans="1:2" x14ac:dyDescent="0.2">
      <c r="A15975" t="str">
        <f>"TAF15"</f>
        <v>TAF15</v>
      </c>
      <c r="B15975" t="s">
        <v>3</v>
      </c>
    </row>
    <row r="15976" spans="1:2" x14ac:dyDescent="0.2">
      <c r="A15976" t="str">
        <f>"TAF1A"</f>
        <v>TAF1A</v>
      </c>
      <c r="B15976" t="s">
        <v>8</v>
      </c>
    </row>
    <row r="15977" spans="1:2" x14ac:dyDescent="0.2">
      <c r="A15977" t="str">
        <f>"TAF1B"</f>
        <v>TAF1B</v>
      </c>
      <c r="B15977" t="s">
        <v>8</v>
      </c>
    </row>
    <row r="15978" spans="1:2" x14ac:dyDescent="0.2">
      <c r="A15978" t="str">
        <f>"TAF1C"</f>
        <v>TAF1C</v>
      </c>
      <c r="B15978" t="s">
        <v>8</v>
      </c>
    </row>
    <row r="15979" spans="1:2" x14ac:dyDescent="0.2">
      <c r="A15979" t="str">
        <f>"TAF1D"</f>
        <v>TAF1D</v>
      </c>
      <c r="B15979" t="s">
        <v>5</v>
      </c>
    </row>
    <row r="15980" spans="1:2" x14ac:dyDescent="0.2">
      <c r="A15980" t="str">
        <f>"TAF1L"</f>
        <v>TAF1L</v>
      </c>
      <c r="B15980" t="s">
        <v>7</v>
      </c>
    </row>
    <row r="15981" spans="1:2" x14ac:dyDescent="0.2">
      <c r="A15981" t="str">
        <f>"TAF2"</f>
        <v>TAF2</v>
      </c>
      <c r="B15981" t="s">
        <v>3</v>
      </c>
    </row>
    <row r="15982" spans="1:2" x14ac:dyDescent="0.2">
      <c r="A15982" t="str">
        <f>"TAF3"</f>
        <v>TAF3</v>
      </c>
      <c r="B15982" t="s">
        <v>8</v>
      </c>
    </row>
    <row r="15983" spans="1:2" x14ac:dyDescent="0.2">
      <c r="A15983" t="str">
        <f>"TAF4"</f>
        <v>TAF4</v>
      </c>
      <c r="B15983" t="s">
        <v>8</v>
      </c>
    </row>
    <row r="15984" spans="1:2" x14ac:dyDescent="0.2">
      <c r="A15984" t="str">
        <f>"TAF4B"</f>
        <v>TAF4B</v>
      </c>
      <c r="B15984" t="s">
        <v>8</v>
      </c>
    </row>
    <row r="15985" spans="1:2" x14ac:dyDescent="0.2">
      <c r="A15985" t="str">
        <f>"TAF5"</f>
        <v>TAF5</v>
      </c>
      <c r="B15985" t="s">
        <v>3</v>
      </c>
    </row>
    <row r="15986" spans="1:2" x14ac:dyDescent="0.2">
      <c r="A15986" t="str">
        <f>"TAF5L"</f>
        <v>TAF5L</v>
      </c>
      <c r="B15986" t="s">
        <v>8</v>
      </c>
    </row>
    <row r="15987" spans="1:2" x14ac:dyDescent="0.2">
      <c r="A15987" t="str">
        <f>"TAF6"</f>
        <v>TAF6</v>
      </c>
      <c r="B15987" t="s">
        <v>3</v>
      </c>
    </row>
    <row r="15988" spans="1:2" x14ac:dyDescent="0.2">
      <c r="A15988" t="str">
        <f>"TAF6L"</f>
        <v>TAF6L</v>
      </c>
      <c r="B15988" t="s">
        <v>8</v>
      </c>
    </row>
    <row r="15989" spans="1:2" x14ac:dyDescent="0.2">
      <c r="A15989" t="str">
        <f>"TAF7"</f>
        <v>TAF7</v>
      </c>
      <c r="B15989" t="s">
        <v>3</v>
      </c>
    </row>
    <row r="15990" spans="1:2" x14ac:dyDescent="0.2">
      <c r="A15990" t="str">
        <f>"TAF7L"</f>
        <v>TAF7L</v>
      </c>
      <c r="B15990" t="s">
        <v>8</v>
      </c>
    </row>
    <row r="15991" spans="1:2" x14ac:dyDescent="0.2">
      <c r="A15991" t="str">
        <f>"TAF8"</f>
        <v>TAF8</v>
      </c>
      <c r="B15991" t="s">
        <v>8</v>
      </c>
    </row>
    <row r="15992" spans="1:2" x14ac:dyDescent="0.2">
      <c r="A15992" t="str">
        <f>"TAF9"</f>
        <v>TAF9</v>
      </c>
      <c r="B15992" t="s">
        <v>3</v>
      </c>
    </row>
    <row r="15993" spans="1:2" x14ac:dyDescent="0.2">
      <c r="A15993" t="str">
        <f>"TAF9B"</f>
        <v>TAF9B</v>
      </c>
      <c r="B15993" t="s">
        <v>8</v>
      </c>
    </row>
    <row r="15994" spans="1:2" x14ac:dyDescent="0.2">
      <c r="A15994" t="str">
        <f>"TAGAP"</f>
        <v>TAGAP</v>
      </c>
      <c r="B15994" t="s">
        <v>2</v>
      </c>
    </row>
    <row r="15995" spans="1:2" x14ac:dyDescent="0.2">
      <c r="A15995" t="str">
        <f>"TAGLN"</f>
        <v>TAGLN</v>
      </c>
      <c r="B15995" t="s">
        <v>6</v>
      </c>
    </row>
    <row r="15996" spans="1:2" x14ac:dyDescent="0.2">
      <c r="A15996" t="str">
        <f>"TAGLN2"</f>
        <v>TAGLN2</v>
      </c>
      <c r="B15996" t="s">
        <v>6</v>
      </c>
    </row>
    <row r="15997" spans="1:2" x14ac:dyDescent="0.2">
      <c r="A15997" t="str">
        <f>"TAGLN3"</f>
        <v>TAGLN3</v>
      </c>
      <c r="B15997" t="s">
        <v>4</v>
      </c>
    </row>
    <row r="15998" spans="1:2" x14ac:dyDescent="0.2">
      <c r="A15998" t="str">
        <f>"TAL1"</f>
        <v>TAL1</v>
      </c>
      <c r="B15998" t="s">
        <v>3</v>
      </c>
    </row>
    <row r="15999" spans="1:2" x14ac:dyDescent="0.2">
      <c r="A15999" t="str">
        <f>"TAL2"</f>
        <v>TAL2</v>
      </c>
      <c r="B15999" t="s">
        <v>3</v>
      </c>
    </row>
    <row r="16000" spans="1:2" x14ac:dyDescent="0.2">
      <c r="A16000" t="str">
        <f>"TALDO1"</f>
        <v>TALDO1</v>
      </c>
      <c r="B16000" t="s">
        <v>3</v>
      </c>
    </row>
    <row r="16001" spans="1:2" x14ac:dyDescent="0.2">
      <c r="A16001" t="str">
        <f>"TAMM41"</f>
        <v>TAMM41</v>
      </c>
      <c r="B16001" t="s">
        <v>6</v>
      </c>
    </row>
    <row r="16002" spans="1:2" x14ac:dyDescent="0.2">
      <c r="A16002" t="str">
        <f>"TANC1"</f>
        <v>TANC1</v>
      </c>
      <c r="B16002" t="s">
        <v>8</v>
      </c>
    </row>
    <row r="16003" spans="1:2" x14ac:dyDescent="0.2">
      <c r="A16003" t="str">
        <f>"TANC2"</f>
        <v>TANC2</v>
      </c>
      <c r="B16003" t="s">
        <v>8</v>
      </c>
    </row>
    <row r="16004" spans="1:2" x14ac:dyDescent="0.2">
      <c r="A16004" t="str">
        <f>"TANGO2"</f>
        <v>TANGO2</v>
      </c>
      <c r="B16004" t="s">
        <v>2</v>
      </c>
    </row>
    <row r="16005" spans="1:2" x14ac:dyDescent="0.2">
      <c r="A16005" t="str">
        <f>"TANGO6"</f>
        <v>TANGO6</v>
      </c>
      <c r="B16005" t="s">
        <v>5</v>
      </c>
    </row>
    <row r="16006" spans="1:2" x14ac:dyDescent="0.2">
      <c r="A16006" t="str">
        <f>"TANK"</f>
        <v>TANK</v>
      </c>
      <c r="B16006" t="s">
        <v>8</v>
      </c>
    </row>
    <row r="16007" spans="1:2" x14ac:dyDescent="0.2">
      <c r="A16007" t="str">
        <f>"TAOK1"</f>
        <v>TAOK1</v>
      </c>
      <c r="B16007" t="s">
        <v>7</v>
      </c>
    </row>
    <row r="16008" spans="1:2" x14ac:dyDescent="0.2">
      <c r="A16008" t="str">
        <f>"TAOK2"</f>
        <v>TAOK2</v>
      </c>
      <c r="B16008" t="s">
        <v>7</v>
      </c>
    </row>
    <row r="16009" spans="1:2" x14ac:dyDescent="0.2">
      <c r="A16009" t="str">
        <f>"TAOK3"</f>
        <v>TAOK3</v>
      </c>
      <c r="B16009" t="s">
        <v>7</v>
      </c>
    </row>
    <row r="16010" spans="1:2" x14ac:dyDescent="0.2">
      <c r="A16010" t="str">
        <f>"TAP1"</f>
        <v>TAP1</v>
      </c>
      <c r="B16010" t="s">
        <v>7</v>
      </c>
    </row>
    <row r="16011" spans="1:2" x14ac:dyDescent="0.2">
      <c r="A16011" t="str">
        <f>"TAP2"</f>
        <v>TAP2</v>
      </c>
      <c r="B16011" t="s">
        <v>3</v>
      </c>
    </row>
    <row r="16012" spans="1:2" x14ac:dyDescent="0.2">
      <c r="A16012" t="str">
        <f>"TAPBP"</f>
        <v>TAPBP</v>
      </c>
      <c r="B16012" t="s">
        <v>6</v>
      </c>
    </row>
    <row r="16013" spans="1:2" x14ac:dyDescent="0.2">
      <c r="A16013" t="str">
        <f>"TAPBPL"</f>
        <v>TAPBPL</v>
      </c>
      <c r="B16013" t="s">
        <v>6</v>
      </c>
    </row>
    <row r="16014" spans="1:2" x14ac:dyDescent="0.2">
      <c r="A16014" t="str">
        <f>"TAPT1"</f>
        <v>TAPT1</v>
      </c>
      <c r="B16014" t="s">
        <v>2</v>
      </c>
    </row>
    <row r="16015" spans="1:2" x14ac:dyDescent="0.2">
      <c r="A16015" t="str">
        <f>"TARBP1"</f>
        <v>TARBP1</v>
      </c>
      <c r="B16015" t="s">
        <v>8</v>
      </c>
    </row>
    <row r="16016" spans="1:2" x14ac:dyDescent="0.2">
      <c r="A16016" t="str">
        <f>"TARBP2"</f>
        <v>TARBP2</v>
      </c>
      <c r="B16016" t="s">
        <v>3</v>
      </c>
    </row>
    <row r="16017" spans="1:2" x14ac:dyDescent="0.2">
      <c r="A16017" t="str">
        <f>"TARDBP"</f>
        <v>TARDBP</v>
      </c>
      <c r="B16017" t="s">
        <v>3</v>
      </c>
    </row>
    <row r="16018" spans="1:2" x14ac:dyDescent="0.2">
      <c r="A16018" t="str">
        <f>"TARM1"</f>
        <v>TARM1</v>
      </c>
      <c r="B16018" t="s">
        <v>4</v>
      </c>
    </row>
    <row r="16019" spans="1:2" x14ac:dyDescent="0.2">
      <c r="A16019" t="str">
        <f>"TARP"</f>
        <v>TARP</v>
      </c>
      <c r="B16019" t="s">
        <v>4</v>
      </c>
    </row>
    <row r="16020" spans="1:2" x14ac:dyDescent="0.2">
      <c r="A16020" t="str">
        <f>"TARS"</f>
        <v>TARS</v>
      </c>
      <c r="B16020" t="s">
        <v>7</v>
      </c>
    </row>
    <row r="16021" spans="1:2" x14ac:dyDescent="0.2">
      <c r="A16021" t="str">
        <f>"TARS2"</f>
        <v>TARS2</v>
      </c>
      <c r="B16021" t="s">
        <v>7</v>
      </c>
    </row>
    <row r="16022" spans="1:2" x14ac:dyDescent="0.2">
      <c r="A16022" t="str">
        <f>"TARSL2"</f>
        <v>TARSL2</v>
      </c>
      <c r="B16022" t="s">
        <v>8</v>
      </c>
    </row>
    <row r="16023" spans="1:2" x14ac:dyDescent="0.2">
      <c r="A16023" t="str">
        <f>"TAS1R1"</f>
        <v>TAS1R1</v>
      </c>
      <c r="B16023" t="s">
        <v>5</v>
      </c>
    </row>
    <row r="16024" spans="1:2" x14ac:dyDescent="0.2">
      <c r="A16024" t="str">
        <f>"TAS1R2"</f>
        <v>TAS1R2</v>
      </c>
      <c r="B16024" t="s">
        <v>7</v>
      </c>
    </row>
    <row r="16025" spans="1:2" x14ac:dyDescent="0.2">
      <c r="A16025" t="str">
        <f>"TAS1R3"</f>
        <v>TAS1R3</v>
      </c>
      <c r="B16025" t="s">
        <v>5</v>
      </c>
    </row>
    <row r="16026" spans="1:2" x14ac:dyDescent="0.2">
      <c r="A16026" t="str">
        <f>"TAS2R1"</f>
        <v>TAS2R1</v>
      </c>
      <c r="B16026" t="s">
        <v>5</v>
      </c>
    </row>
    <row r="16027" spans="1:2" x14ac:dyDescent="0.2">
      <c r="A16027" t="str">
        <f>"TAS2R10"</f>
        <v>TAS2R10</v>
      </c>
      <c r="B16027" t="s">
        <v>5</v>
      </c>
    </row>
    <row r="16028" spans="1:2" x14ac:dyDescent="0.2">
      <c r="A16028" t="str">
        <f>"TAS2R13"</f>
        <v>TAS2R13</v>
      </c>
      <c r="B16028" t="s">
        <v>5</v>
      </c>
    </row>
    <row r="16029" spans="1:2" x14ac:dyDescent="0.2">
      <c r="A16029" t="str">
        <f>"TAS2R14"</f>
        <v>TAS2R14</v>
      </c>
      <c r="B16029" t="s">
        <v>5</v>
      </c>
    </row>
    <row r="16030" spans="1:2" x14ac:dyDescent="0.2">
      <c r="A16030" t="str">
        <f>"TAS2R16"</f>
        <v>TAS2R16</v>
      </c>
      <c r="B16030" t="s">
        <v>6</v>
      </c>
    </row>
    <row r="16031" spans="1:2" x14ac:dyDescent="0.2">
      <c r="A16031" t="str">
        <f>"TAS2R19"</f>
        <v>TAS2R19</v>
      </c>
      <c r="B16031" t="s">
        <v>5</v>
      </c>
    </row>
    <row r="16032" spans="1:2" x14ac:dyDescent="0.2">
      <c r="A16032" t="str">
        <f>"TAS2R20"</f>
        <v>TAS2R20</v>
      </c>
      <c r="B16032" t="s">
        <v>8</v>
      </c>
    </row>
    <row r="16033" spans="1:2" x14ac:dyDescent="0.2">
      <c r="A16033" t="str">
        <f>"TAS2R3"</f>
        <v>TAS2R3</v>
      </c>
      <c r="B16033" t="s">
        <v>5</v>
      </c>
    </row>
    <row r="16034" spans="1:2" x14ac:dyDescent="0.2">
      <c r="A16034" t="str">
        <f>"TAS2R30"</f>
        <v>TAS2R30</v>
      </c>
      <c r="B16034" t="s">
        <v>5</v>
      </c>
    </row>
    <row r="16035" spans="1:2" x14ac:dyDescent="0.2">
      <c r="A16035" t="str">
        <f>"TAS2R31"</f>
        <v>TAS2R31</v>
      </c>
      <c r="B16035" t="s">
        <v>5</v>
      </c>
    </row>
    <row r="16036" spans="1:2" x14ac:dyDescent="0.2">
      <c r="A16036" t="str">
        <f>"TAS2R38"</f>
        <v>TAS2R38</v>
      </c>
      <c r="B16036" t="s">
        <v>5</v>
      </c>
    </row>
    <row r="16037" spans="1:2" x14ac:dyDescent="0.2">
      <c r="A16037" t="str">
        <f>"TAS2R39"</f>
        <v>TAS2R39</v>
      </c>
      <c r="B16037" t="s">
        <v>5</v>
      </c>
    </row>
    <row r="16038" spans="1:2" x14ac:dyDescent="0.2">
      <c r="A16038" t="str">
        <f>"TAS2R4"</f>
        <v>TAS2R4</v>
      </c>
      <c r="B16038" t="s">
        <v>5</v>
      </c>
    </row>
    <row r="16039" spans="1:2" x14ac:dyDescent="0.2">
      <c r="A16039" t="str">
        <f>"TAS2R40"</f>
        <v>TAS2R40</v>
      </c>
      <c r="B16039" t="s">
        <v>5</v>
      </c>
    </row>
    <row r="16040" spans="1:2" x14ac:dyDescent="0.2">
      <c r="A16040" t="str">
        <f>"TAS2R41"</f>
        <v>TAS2R41</v>
      </c>
      <c r="B16040" t="s">
        <v>5</v>
      </c>
    </row>
    <row r="16041" spans="1:2" x14ac:dyDescent="0.2">
      <c r="A16041" t="str">
        <f>"TAS2R42"</f>
        <v>TAS2R42</v>
      </c>
      <c r="B16041" t="s">
        <v>5</v>
      </c>
    </row>
    <row r="16042" spans="1:2" x14ac:dyDescent="0.2">
      <c r="A16042" t="str">
        <f>"TAS2R43"</f>
        <v>TAS2R43</v>
      </c>
      <c r="B16042" t="s">
        <v>5</v>
      </c>
    </row>
    <row r="16043" spans="1:2" x14ac:dyDescent="0.2">
      <c r="A16043" t="str">
        <f>"TAS2R46"</f>
        <v>TAS2R46</v>
      </c>
      <c r="B16043" t="s">
        <v>5</v>
      </c>
    </row>
    <row r="16044" spans="1:2" x14ac:dyDescent="0.2">
      <c r="A16044" t="str">
        <f>"TAS2R5"</f>
        <v>TAS2R5</v>
      </c>
      <c r="B16044" t="s">
        <v>5</v>
      </c>
    </row>
    <row r="16045" spans="1:2" x14ac:dyDescent="0.2">
      <c r="A16045" t="str">
        <f>"TAS2R50"</f>
        <v>TAS2R50</v>
      </c>
      <c r="B16045" t="s">
        <v>5</v>
      </c>
    </row>
    <row r="16046" spans="1:2" x14ac:dyDescent="0.2">
      <c r="A16046" t="str">
        <f>"TAS2R60"</f>
        <v>TAS2R60</v>
      </c>
      <c r="B16046" t="s">
        <v>5</v>
      </c>
    </row>
    <row r="16047" spans="1:2" x14ac:dyDescent="0.2">
      <c r="A16047" t="str">
        <f>"TAS2R7"</f>
        <v>TAS2R7</v>
      </c>
      <c r="B16047" t="s">
        <v>5</v>
      </c>
    </row>
    <row r="16048" spans="1:2" x14ac:dyDescent="0.2">
      <c r="A16048" t="str">
        <f>"TAS2R8"</f>
        <v>TAS2R8</v>
      </c>
      <c r="B16048" t="s">
        <v>5</v>
      </c>
    </row>
    <row r="16049" spans="1:2" x14ac:dyDescent="0.2">
      <c r="A16049" t="str">
        <f>"TAS2R9"</f>
        <v>TAS2R9</v>
      </c>
      <c r="B16049" t="s">
        <v>5</v>
      </c>
    </row>
    <row r="16050" spans="1:2" x14ac:dyDescent="0.2">
      <c r="A16050" t="str">
        <f>"TASP1"</f>
        <v>TASP1</v>
      </c>
      <c r="B16050" t="s">
        <v>2</v>
      </c>
    </row>
    <row r="16051" spans="1:2" x14ac:dyDescent="0.2">
      <c r="A16051" t="str">
        <f>"TAT"</f>
        <v>TAT</v>
      </c>
      <c r="B16051" t="s">
        <v>7</v>
      </c>
    </row>
    <row r="16052" spans="1:2" x14ac:dyDescent="0.2">
      <c r="A16052" t="str">
        <f>"TATDN1"</f>
        <v>TATDN1</v>
      </c>
      <c r="B16052" t="s">
        <v>4</v>
      </c>
    </row>
    <row r="16053" spans="1:2" x14ac:dyDescent="0.2">
      <c r="A16053" t="str">
        <f>"TATDN2"</f>
        <v>TATDN2</v>
      </c>
      <c r="B16053" t="s">
        <v>4</v>
      </c>
    </row>
    <row r="16054" spans="1:2" x14ac:dyDescent="0.2">
      <c r="A16054" t="str">
        <f>"TATDN3"</f>
        <v>TATDN3</v>
      </c>
      <c r="B16054" t="s">
        <v>6</v>
      </c>
    </row>
    <row r="16055" spans="1:2" x14ac:dyDescent="0.2">
      <c r="A16055" t="str">
        <f>"TAX1BP1"</f>
        <v>TAX1BP1</v>
      </c>
      <c r="B16055" t="s">
        <v>3</v>
      </c>
    </row>
    <row r="16056" spans="1:2" x14ac:dyDescent="0.2">
      <c r="A16056" t="str">
        <f>"TAX1BP3"</f>
        <v>TAX1BP3</v>
      </c>
      <c r="B16056" t="s">
        <v>8</v>
      </c>
    </row>
    <row r="16057" spans="1:2" x14ac:dyDescent="0.2">
      <c r="A16057" t="str">
        <f>"TAZ"</f>
        <v>TAZ</v>
      </c>
      <c r="B16057" t="s">
        <v>6</v>
      </c>
    </row>
    <row r="16058" spans="1:2" x14ac:dyDescent="0.2">
      <c r="A16058" t="str">
        <f>"TBATA"</f>
        <v>TBATA</v>
      </c>
      <c r="B16058" t="s">
        <v>4</v>
      </c>
    </row>
    <row r="16059" spans="1:2" x14ac:dyDescent="0.2">
      <c r="A16059" t="str">
        <f>"TBC1D1"</f>
        <v>TBC1D1</v>
      </c>
      <c r="B16059" t="s">
        <v>4</v>
      </c>
    </row>
    <row r="16060" spans="1:2" x14ac:dyDescent="0.2">
      <c r="A16060" t="str">
        <f>"TBC1D10A"</f>
        <v>TBC1D10A</v>
      </c>
      <c r="B16060" t="s">
        <v>4</v>
      </c>
    </row>
    <row r="16061" spans="1:2" x14ac:dyDescent="0.2">
      <c r="A16061" t="str">
        <f>"TBC1D10B"</f>
        <v>TBC1D10B</v>
      </c>
      <c r="B16061" t="s">
        <v>4</v>
      </c>
    </row>
    <row r="16062" spans="1:2" x14ac:dyDescent="0.2">
      <c r="A16062" t="str">
        <f>"TBC1D10C"</f>
        <v>TBC1D10C</v>
      </c>
      <c r="B16062" t="s">
        <v>4</v>
      </c>
    </row>
    <row r="16063" spans="1:2" x14ac:dyDescent="0.2">
      <c r="A16063" t="str">
        <f>"TBC1D12"</f>
        <v>TBC1D12</v>
      </c>
      <c r="B16063" t="s">
        <v>4</v>
      </c>
    </row>
    <row r="16064" spans="1:2" x14ac:dyDescent="0.2">
      <c r="A16064" t="str">
        <f>"TBC1D13"</f>
        <v>TBC1D13</v>
      </c>
      <c r="B16064" t="s">
        <v>6</v>
      </c>
    </row>
    <row r="16065" spans="1:2" x14ac:dyDescent="0.2">
      <c r="A16065" t="str">
        <f>"TBC1D14"</f>
        <v>TBC1D14</v>
      </c>
      <c r="B16065" t="s">
        <v>4</v>
      </c>
    </row>
    <row r="16066" spans="1:2" x14ac:dyDescent="0.2">
      <c r="A16066" t="str">
        <f>"TBC1D15"</f>
        <v>TBC1D15</v>
      </c>
      <c r="B16066" t="s">
        <v>2</v>
      </c>
    </row>
    <row r="16067" spans="1:2" x14ac:dyDescent="0.2">
      <c r="A16067" t="str">
        <f>"TBC1D16"</f>
        <v>TBC1D16</v>
      </c>
      <c r="B16067" t="s">
        <v>4</v>
      </c>
    </row>
    <row r="16068" spans="1:2" x14ac:dyDescent="0.2">
      <c r="A16068" t="str">
        <f>"TBC1D17"</f>
        <v>TBC1D17</v>
      </c>
      <c r="B16068" t="s">
        <v>6</v>
      </c>
    </row>
    <row r="16069" spans="1:2" x14ac:dyDescent="0.2">
      <c r="A16069" t="str">
        <f>"TBC1D19"</f>
        <v>TBC1D19</v>
      </c>
      <c r="B16069" t="s">
        <v>5</v>
      </c>
    </row>
    <row r="16070" spans="1:2" x14ac:dyDescent="0.2">
      <c r="A16070" t="str">
        <f>"TBC1D2"</f>
        <v>TBC1D2</v>
      </c>
      <c r="B16070" t="s">
        <v>4</v>
      </c>
    </row>
    <row r="16071" spans="1:2" x14ac:dyDescent="0.2">
      <c r="A16071" t="str">
        <f>"TBC1D20"</f>
        <v>TBC1D20</v>
      </c>
      <c r="B16071" t="s">
        <v>2</v>
      </c>
    </row>
    <row r="16072" spans="1:2" x14ac:dyDescent="0.2">
      <c r="A16072" t="str">
        <f>"TBC1D21"</f>
        <v>TBC1D21</v>
      </c>
      <c r="B16072" t="s">
        <v>4</v>
      </c>
    </row>
    <row r="16073" spans="1:2" x14ac:dyDescent="0.2">
      <c r="A16073" t="str">
        <f>"TBC1D22A"</f>
        <v>TBC1D22A</v>
      </c>
      <c r="B16073" t="s">
        <v>2</v>
      </c>
    </row>
    <row r="16074" spans="1:2" x14ac:dyDescent="0.2">
      <c r="A16074" t="str">
        <f>"TBC1D22B"</f>
        <v>TBC1D22B</v>
      </c>
      <c r="B16074" t="s">
        <v>4</v>
      </c>
    </row>
    <row r="16075" spans="1:2" x14ac:dyDescent="0.2">
      <c r="A16075" t="str">
        <f>"TBC1D23"</f>
        <v>TBC1D23</v>
      </c>
      <c r="B16075" t="s">
        <v>4</v>
      </c>
    </row>
    <row r="16076" spans="1:2" x14ac:dyDescent="0.2">
      <c r="A16076" t="str">
        <f>"TBC1D24"</f>
        <v>TBC1D24</v>
      </c>
      <c r="B16076" t="s">
        <v>2</v>
      </c>
    </row>
    <row r="16077" spans="1:2" x14ac:dyDescent="0.2">
      <c r="A16077" t="str">
        <f>"TBC1D25"</f>
        <v>TBC1D25</v>
      </c>
      <c r="B16077" t="s">
        <v>4</v>
      </c>
    </row>
    <row r="16078" spans="1:2" x14ac:dyDescent="0.2">
      <c r="A16078" t="str">
        <f>"TBC1D26"</f>
        <v>TBC1D26</v>
      </c>
      <c r="B16078" t="s">
        <v>4</v>
      </c>
    </row>
    <row r="16079" spans="1:2" x14ac:dyDescent="0.2">
      <c r="A16079" t="str">
        <f>"TBC1D28"</f>
        <v>TBC1D28</v>
      </c>
      <c r="B16079" t="s">
        <v>4</v>
      </c>
    </row>
    <row r="16080" spans="1:2" x14ac:dyDescent="0.2">
      <c r="A16080" t="str">
        <f>"TBC1D29"</f>
        <v>TBC1D29</v>
      </c>
      <c r="B16080" t="s">
        <v>4</v>
      </c>
    </row>
    <row r="16081" spans="1:2" x14ac:dyDescent="0.2">
      <c r="A16081" t="str">
        <f>"TBC1D2B"</f>
        <v>TBC1D2B</v>
      </c>
      <c r="B16081" t="s">
        <v>4</v>
      </c>
    </row>
    <row r="16082" spans="1:2" x14ac:dyDescent="0.2">
      <c r="A16082" t="str">
        <f>"TBC1D3"</f>
        <v>TBC1D3</v>
      </c>
      <c r="B16082" t="s">
        <v>4</v>
      </c>
    </row>
    <row r="16083" spans="1:2" x14ac:dyDescent="0.2">
      <c r="A16083" t="str">
        <f>"TBC1D30"</f>
        <v>TBC1D30</v>
      </c>
      <c r="B16083" t="s">
        <v>4</v>
      </c>
    </row>
    <row r="16084" spans="1:2" x14ac:dyDescent="0.2">
      <c r="A16084" t="str">
        <f>"TBC1D31"</f>
        <v>TBC1D31</v>
      </c>
      <c r="B16084" t="s">
        <v>4</v>
      </c>
    </row>
    <row r="16085" spans="1:2" x14ac:dyDescent="0.2">
      <c r="A16085" t="str">
        <f>"TBC1D32"</f>
        <v>TBC1D32</v>
      </c>
      <c r="B16085" t="s">
        <v>5</v>
      </c>
    </row>
    <row r="16086" spans="1:2" x14ac:dyDescent="0.2">
      <c r="A16086" t="str">
        <f>"TBC1D3F"</f>
        <v>TBC1D3F</v>
      </c>
      <c r="B16086" t="s">
        <v>4</v>
      </c>
    </row>
    <row r="16087" spans="1:2" x14ac:dyDescent="0.2">
      <c r="A16087" t="str">
        <f>"TBC1D3G"</f>
        <v>TBC1D3G</v>
      </c>
      <c r="B16087" t="s">
        <v>4</v>
      </c>
    </row>
    <row r="16088" spans="1:2" x14ac:dyDescent="0.2">
      <c r="A16088" t="str">
        <f>"TBC1D3H"</f>
        <v>TBC1D3H</v>
      </c>
      <c r="B16088" t="s">
        <v>4</v>
      </c>
    </row>
    <row r="16089" spans="1:2" x14ac:dyDescent="0.2">
      <c r="A16089" t="str">
        <f>"TBC1D4"</f>
        <v>TBC1D4</v>
      </c>
      <c r="B16089" t="s">
        <v>3</v>
      </c>
    </row>
    <row r="16090" spans="1:2" x14ac:dyDescent="0.2">
      <c r="A16090" t="str">
        <f>"TBC1D5"</f>
        <v>TBC1D5</v>
      </c>
      <c r="B16090" t="s">
        <v>5</v>
      </c>
    </row>
    <row r="16091" spans="1:2" x14ac:dyDescent="0.2">
      <c r="A16091" t="str">
        <f>"TBC1D7"</f>
        <v>TBC1D7</v>
      </c>
      <c r="B16091" t="s">
        <v>4</v>
      </c>
    </row>
    <row r="16092" spans="1:2" x14ac:dyDescent="0.2">
      <c r="A16092" t="str">
        <f>"TBC1D8"</f>
        <v>TBC1D8</v>
      </c>
      <c r="B16092" t="s">
        <v>4</v>
      </c>
    </row>
    <row r="16093" spans="1:2" x14ac:dyDescent="0.2">
      <c r="A16093" t="str">
        <f>"TBC1D8B"</f>
        <v>TBC1D8B</v>
      </c>
      <c r="B16093" t="s">
        <v>6</v>
      </c>
    </row>
    <row r="16094" spans="1:2" x14ac:dyDescent="0.2">
      <c r="A16094" t="str">
        <f>"TBC1D9"</f>
        <v>TBC1D9</v>
      </c>
      <c r="B16094" t="s">
        <v>4</v>
      </c>
    </row>
    <row r="16095" spans="1:2" x14ac:dyDescent="0.2">
      <c r="A16095" t="str">
        <f>"TBC1D9B"</f>
        <v>TBC1D9B</v>
      </c>
      <c r="B16095" t="s">
        <v>4</v>
      </c>
    </row>
    <row r="16096" spans="1:2" x14ac:dyDescent="0.2">
      <c r="A16096" t="str">
        <f>"TBCA"</f>
        <v>TBCA</v>
      </c>
      <c r="B16096" t="s">
        <v>2</v>
      </c>
    </row>
    <row r="16097" spans="1:2" x14ac:dyDescent="0.2">
      <c r="A16097" t="str">
        <f>"TBCB"</f>
        <v>TBCB</v>
      </c>
      <c r="B16097" t="s">
        <v>2</v>
      </c>
    </row>
    <row r="16098" spans="1:2" x14ac:dyDescent="0.2">
      <c r="A16098" t="str">
        <f>"TBCC"</f>
        <v>TBCC</v>
      </c>
      <c r="B16098" t="s">
        <v>2</v>
      </c>
    </row>
    <row r="16099" spans="1:2" x14ac:dyDescent="0.2">
      <c r="A16099" t="str">
        <f>"TBCCD1"</f>
        <v>TBCCD1</v>
      </c>
      <c r="B16099" t="s">
        <v>2</v>
      </c>
    </row>
    <row r="16100" spans="1:2" x14ac:dyDescent="0.2">
      <c r="A16100" t="str">
        <f>"TBCD"</f>
        <v>TBCD</v>
      </c>
      <c r="B16100" t="s">
        <v>2</v>
      </c>
    </row>
    <row r="16101" spans="1:2" x14ac:dyDescent="0.2">
      <c r="A16101" t="str">
        <f>"TBCE"</f>
        <v>TBCE</v>
      </c>
      <c r="B16101" t="s">
        <v>2</v>
      </c>
    </row>
    <row r="16102" spans="1:2" x14ac:dyDescent="0.2">
      <c r="A16102" t="str">
        <f>"TBCEL"</f>
        <v>TBCEL</v>
      </c>
      <c r="B16102" t="s">
        <v>6</v>
      </c>
    </row>
    <row r="16103" spans="1:2" x14ac:dyDescent="0.2">
      <c r="A16103" t="str">
        <f>"TBCK"</f>
        <v>TBCK</v>
      </c>
      <c r="B16103" t="s">
        <v>7</v>
      </c>
    </row>
    <row r="16104" spans="1:2" x14ac:dyDescent="0.2">
      <c r="A16104" t="str">
        <f>"TBK1"</f>
        <v>TBK1</v>
      </c>
      <c r="B16104" t="s">
        <v>7</v>
      </c>
    </row>
    <row r="16105" spans="1:2" x14ac:dyDescent="0.2">
      <c r="A16105" t="str">
        <f>"TBKBP1"</f>
        <v>TBKBP1</v>
      </c>
      <c r="B16105" t="s">
        <v>4</v>
      </c>
    </row>
    <row r="16106" spans="1:2" x14ac:dyDescent="0.2">
      <c r="A16106" t="str">
        <f>"TBL1X"</f>
        <v>TBL1X</v>
      </c>
      <c r="B16106" t="s">
        <v>2</v>
      </c>
    </row>
    <row r="16107" spans="1:2" x14ac:dyDescent="0.2">
      <c r="A16107" t="str">
        <f>"TBL1XR1"</f>
        <v>TBL1XR1</v>
      </c>
      <c r="B16107" t="s">
        <v>6</v>
      </c>
    </row>
    <row r="16108" spans="1:2" x14ac:dyDescent="0.2">
      <c r="A16108" t="str">
        <f>"TBL1Y"</f>
        <v>TBL1Y</v>
      </c>
      <c r="B16108" t="s">
        <v>8</v>
      </c>
    </row>
    <row r="16109" spans="1:2" x14ac:dyDescent="0.2">
      <c r="A16109" t="str">
        <f>"TBL2"</f>
        <v>TBL2</v>
      </c>
      <c r="B16109" t="s">
        <v>4</v>
      </c>
    </row>
    <row r="16110" spans="1:2" x14ac:dyDescent="0.2">
      <c r="A16110" t="str">
        <f>"TBL3"</f>
        <v>TBL3</v>
      </c>
      <c r="B16110" t="s">
        <v>2</v>
      </c>
    </row>
    <row r="16111" spans="1:2" x14ac:dyDescent="0.2">
      <c r="A16111" t="str">
        <f>"TBP"</f>
        <v>TBP</v>
      </c>
      <c r="B16111" t="s">
        <v>3</v>
      </c>
    </row>
    <row r="16112" spans="1:2" x14ac:dyDescent="0.2">
      <c r="A16112" t="str">
        <f>"TBPL1"</f>
        <v>TBPL1</v>
      </c>
      <c r="B16112" t="s">
        <v>8</v>
      </c>
    </row>
    <row r="16113" spans="1:2" x14ac:dyDescent="0.2">
      <c r="A16113" t="str">
        <f>"TBPL2"</f>
        <v>TBPL2</v>
      </c>
      <c r="B16113" t="s">
        <v>8</v>
      </c>
    </row>
    <row r="16114" spans="1:2" x14ac:dyDescent="0.2">
      <c r="A16114" t="str">
        <f>"TBR1"</f>
        <v>TBR1</v>
      </c>
      <c r="B16114" t="s">
        <v>8</v>
      </c>
    </row>
    <row r="16115" spans="1:2" x14ac:dyDescent="0.2">
      <c r="A16115" t="str">
        <f>"TBRG1"</f>
        <v>TBRG1</v>
      </c>
      <c r="B16115" t="s">
        <v>4</v>
      </c>
    </row>
    <row r="16116" spans="1:2" x14ac:dyDescent="0.2">
      <c r="A16116" t="str">
        <f>"TBRG4"</f>
        <v>TBRG4</v>
      </c>
      <c r="B16116" t="s">
        <v>3</v>
      </c>
    </row>
    <row r="16117" spans="1:2" x14ac:dyDescent="0.2">
      <c r="A16117" t="str">
        <f>"TBX1"</f>
        <v>TBX1</v>
      </c>
      <c r="B16117" t="s">
        <v>8</v>
      </c>
    </row>
    <row r="16118" spans="1:2" x14ac:dyDescent="0.2">
      <c r="A16118" t="str">
        <f>"TBX10"</f>
        <v>TBX10</v>
      </c>
      <c r="B16118" t="s">
        <v>8</v>
      </c>
    </row>
    <row r="16119" spans="1:2" x14ac:dyDescent="0.2">
      <c r="A16119" t="str">
        <f>"TBX15"</f>
        <v>TBX15</v>
      </c>
      <c r="B16119" t="s">
        <v>8</v>
      </c>
    </row>
    <row r="16120" spans="1:2" x14ac:dyDescent="0.2">
      <c r="A16120" t="str">
        <f>"TBX18"</f>
        <v>TBX18</v>
      </c>
      <c r="B16120" t="s">
        <v>8</v>
      </c>
    </row>
    <row r="16121" spans="1:2" x14ac:dyDescent="0.2">
      <c r="A16121" t="str">
        <f>"TBX19"</f>
        <v>TBX19</v>
      </c>
      <c r="B16121" t="s">
        <v>8</v>
      </c>
    </row>
    <row r="16122" spans="1:2" x14ac:dyDescent="0.2">
      <c r="A16122" t="str">
        <f>"TBX2"</f>
        <v>TBX2</v>
      </c>
      <c r="B16122" t="s">
        <v>8</v>
      </c>
    </row>
    <row r="16123" spans="1:2" x14ac:dyDescent="0.2">
      <c r="A16123" t="str">
        <f>"TBX20"</f>
        <v>TBX20</v>
      </c>
      <c r="B16123" t="s">
        <v>8</v>
      </c>
    </row>
    <row r="16124" spans="1:2" x14ac:dyDescent="0.2">
      <c r="A16124" t="str">
        <f>"TBX21"</f>
        <v>TBX21</v>
      </c>
      <c r="B16124" t="s">
        <v>8</v>
      </c>
    </row>
    <row r="16125" spans="1:2" x14ac:dyDescent="0.2">
      <c r="A16125" t="str">
        <f>"TBX22"</f>
        <v>TBX22</v>
      </c>
      <c r="B16125" t="s">
        <v>3</v>
      </c>
    </row>
    <row r="16126" spans="1:2" x14ac:dyDescent="0.2">
      <c r="A16126" t="str">
        <f>"TBX3"</f>
        <v>TBX3</v>
      </c>
      <c r="B16126" t="s">
        <v>3</v>
      </c>
    </row>
    <row r="16127" spans="1:2" x14ac:dyDescent="0.2">
      <c r="A16127" t="str">
        <f>"TBX4"</f>
        <v>TBX4</v>
      </c>
      <c r="B16127" t="s">
        <v>8</v>
      </c>
    </row>
    <row r="16128" spans="1:2" x14ac:dyDescent="0.2">
      <c r="A16128" t="str">
        <f>"TBX5"</f>
        <v>TBX5</v>
      </c>
      <c r="B16128" t="s">
        <v>3</v>
      </c>
    </row>
    <row r="16129" spans="1:2" x14ac:dyDescent="0.2">
      <c r="A16129" t="str">
        <f>"TBX6"</f>
        <v>TBX6</v>
      </c>
      <c r="B16129" t="s">
        <v>8</v>
      </c>
    </row>
    <row r="16130" spans="1:2" x14ac:dyDescent="0.2">
      <c r="A16130" t="str">
        <f>"TBXA2R"</f>
        <v>TBXA2R</v>
      </c>
      <c r="B16130" t="s">
        <v>7</v>
      </c>
    </row>
    <row r="16131" spans="1:2" x14ac:dyDescent="0.2">
      <c r="A16131" t="str">
        <f>"TBXAS1"</f>
        <v>TBXAS1</v>
      </c>
      <c r="B16131" t="s">
        <v>7</v>
      </c>
    </row>
    <row r="16132" spans="1:2" x14ac:dyDescent="0.2">
      <c r="A16132" t="str">
        <f>"TC2N"</f>
        <v>TC2N</v>
      </c>
      <c r="B16132" t="s">
        <v>4</v>
      </c>
    </row>
    <row r="16133" spans="1:2" x14ac:dyDescent="0.2">
      <c r="A16133" t="str">
        <f>"TCAIM"</f>
        <v>TCAIM</v>
      </c>
      <c r="B16133" t="s">
        <v>6</v>
      </c>
    </row>
    <row r="16134" spans="1:2" x14ac:dyDescent="0.2">
      <c r="A16134" t="str">
        <f>"TCAP"</f>
        <v>TCAP</v>
      </c>
      <c r="B16134" t="s">
        <v>2</v>
      </c>
    </row>
    <row r="16135" spans="1:2" x14ac:dyDescent="0.2">
      <c r="A16135" t="str">
        <f>"TCEA1"</f>
        <v>TCEA1</v>
      </c>
      <c r="B16135" t="s">
        <v>3</v>
      </c>
    </row>
    <row r="16136" spans="1:2" x14ac:dyDescent="0.2">
      <c r="A16136" t="str">
        <f>"TCEA2"</f>
        <v>TCEA2</v>
      </c>
      <c r="B16136" t="s">
        <v>8</v>
      </c>
    </row>
    <row r="16137" spans="1:2" x14ac:dyDescent="0.2">
      <c r="A16137" t="str">
        <f>"TCEA3"</f>
        <v>TCEA3</v>
      </c>
      <c r="B16137" t="s">
        <v>8</v>
      </c>
    </row>
    <row r="16138" spans="1:2" x14ac:dyDescent="0.2">
      <c r="A16138" t="str">
        <f>"TCEAL1"</f>
        <v>TCEAL1</v>
      </c>
      <c r="B16138" t="s">
        <v>8</v>
      </c>
    </row>
    <row r="16139" spans="1:2" x14ac:dyDescent="0.2">
      <c r="A16139" t="str">
        <f>"TCEAL2"</f>
        <v>TCEAL2</v>
      </c>
      <c r="B16139" t="s">
        <v>8</v>
      </c>
    </row>
    <row r="16140" spans="1:2" x14ac:dyDescent="0.2">
      <c r="A16140" t="str">
        <f>"TCEAL3"</f>
        <v>TCEAL3</v>
      </c>
      <c r="B16140" t="s">
        <v>8</v>
      </c>
    </row>
    <row r="16141" spans="1:2" x14ac:dyDescent="0.2">
      <c r="A16141" t="str">
        <f>"TCEAL4"</f>
        <v>TCEAL4</v>
      </c>
      <c r="B16141" t="s">
        <v>8</v>
      </c>
    </row>
    <row r="16142" spans="1:2" x14ac:dyDescent="0.2">
      <c r="A16142" t="str">
        <f>"TCEAL5"</f>
        <v>TCEAL5</v>
      </c>
      <c r="B16142" t="s">
        <v>8</v>
      </c>
    </row>
    <row r="16143" spans="1:2" x14ac:dyDescent="0.2">
      <c r="A16143" t="str">
        <f>"TCEAL6"</f>
        <v>TCEAL6</v>
      </c>
      <c r="B16143" t="s">
        <v>8</v>
      </c>
    </row>
    <row r="16144" spans="1:2" x14ac:dyDescent="0.2">
      <c r="A16144" t="str">
        <f>"TCEAL7"</f>
        <v>TCEAL7</v>
      </c>
      <c r="B16144" t="s">
        <v>8</v>
      </c>
    </row>
    <row r="16145" spans="1:2" x14ac:dyDescent="0.2">
      <c r="A16145" t="str">
        <f>"TCEAL8"</f>
        <v>TCEAL8</v>
      </c>
      <c r="B16145" t="s">
        <v>8</v>
      </c>
    </row>
    <row r="16146" spans="1:2" x14ac:dyDescent="0.2">
      <c r="A16146" t="str">
        <f>"TCEANC"</f>
        <v>TCEANC</v>
      </c>
      <c r="B16146" t="s">
        <v>8</v>
      </c>
    </row>
    <row r="16147" spans="1:2" x14ac:dyDescent="0.2">
      <c r="A16147" t="str">
        <f>"TCEANC2"</f>
        <v>TCEANC2</v>
      </c>
      <c r="B16147" t="s">
        <v>8</v>
      </c>
    </row>
    <row r="16148" spans="1:2" x14ac:dyDescent="0.2">
      <c r="A16148" t="str">
        <f>"TCEB1"</f>
        <v>TCEB1</v>
      </c>
      <c r="B16148" t="s">
        <v>2</v>
      </c>
    </row>
    <row r="16149" spans="1:2" x14ac:dyDescent="0.2">
      <c r="A16149" t="str">
        <f>"TCEB2"</f>
        <v>TCEB2</v>
      </c>
      <c r="B16149" t="s">
        <v>2</v>
      </c>
    </row>
    <row r="16150" spans="1:2" x14ac:dyDescent="0.2">
      <c r="A16150" t="str">
        <f>"TCEB3"</f>
        <v>TCEB3</v>
      </c>
      <c r="B16150" t="s">
        <v>8</v>
      </c>
    </row>
    <row r="16151" spans="1:2" x14ac:dyDescent="0.2">
      <c r="A16151" t="str">
        <f>"TCEB3B"</f>
        <v>TCEB3B</v>
      </c>
      <c r="B16151" t="s">
        <v>8</v>
      </c>
    </row>
    <row r="16152" spans="1:2" x14ac:dyDescent="0.2">
      <c r="A16152" t="str">
        <f>"TCEB3C"</f>
        <v>TCEB3C</v>
      </c>
      <c r="B16152" t="s">
        <v>8</v>
      </c>
    </row>
    <row r="16153" spans="1:2" x14ac:dyDescent="0.2">
      <c r="A16153" t="str">
        <f>"TCEB3CL"</f>
        <v>TCEB3CL</v>
      </c>
      <c r="B16153" t="s">
        <v>8</v>
      </c>
    </row>
    <row r="16154" spans="1:2" x14ac:dyDescent="0.2">
      <c r="A16154" t="str">
        <f>"TCEB3CL2"</f>
        <v>TCEB3CL2</v>
      </c>
      <c r="B16154" t="s">
        <v>4</v>
      </c>
    </row>
    <row r="16155" spans="1:2" x14ac:dyDescent="0.2">
      <c r="A16155" t="str">
        <f>"TCERG1"</f>
        <v>TCERG1</v>
      </c>
      <c r="B16155" t="s">
        <v>8</v>
      </c>
    </row>
    <row r="16156" spans="1:2" x14ac:dyDescent="0.2">
      <c r="A16156" t="str">
        <f>"TCERG1L"</f>
        <v>TCERG1L</v>
      </c>
      <c r="B16156" t="s">
        <v>3</v>
      </c>
    </row>
    <row r="16157" spans="1:2" x14ac:dyDescent="0.2">
      <c r="A16157" t="str">
        <f>"TCF12"</f>
        <v>TCF12</v>
      </c>
      <c r="B16157" t="s">
        <v>3</v>
      </c>
    </row>
    <row r="16158" spans="1:2" x14ac:dyDescent="0.2">
      <c r="A16158" t="str">
        <f>"TCF15"</f>
        <v>TCF15</v>
      </c>
      <c r="B16158" t="s">
        <v>8</v>
      </c>
    </row>
    <row r="16159" spans="1:2" x14ac:dyDescent="0.2">
      <c r="A16159" t="str">
        <f>"TCF19"</f>
        <v>TCF19</v>
      </c>
      <c r="B16159" t="s">
        <v>8</v>
      </c>
    </row>
    <row r="16160" spans="1:2" x14ac:dyDescent="0.2">
      <c r="A16160" t="str">
        <f>"TCF20"</f>
        <v>TCF20</v>
      </c>
      <c r="B16160" t="s">
        <v>8</v>
      </c>
    </row>
    <row r="16161" spans="1:2" x14ac:dyDescent="0.2">
      <c r="A16161" t="str">
        <f>"TCF21"</f>
        <v>TCF21</v>
      </c>
      <c r="B16161" t="s">
        <v>8</v>
      </c>
    </row>
    <row r="16162" spans="1:2" x14ac:dyDescent="0.2">
      <c r="A16162" t="str">
        <f>"TCF23"</f>
        <v>TCF23</v>
      </c>
      <c r="B16162" t="s">
        <v>8</v>
      </c>
    </row>
    <row r="16163" spans="1:2" x14ac:dyDescent="0.2">
      <c r="A16163" t="str">
        <f>"TCF24"</f>
        <v>TCF24</v>
      </c>
      <c r="B16163" t="s">
        <v>8</v>
      </c>
    </row>
    <row r="16164" spans="1:2" x14ac:dyDescent="0.2">
      <c r="A16164" t="str">
        <f>"TCF25"</f>
        <v>TCF25</v>
      </c>
      <c r="B16164" t="s">
        <v>2</v>
      </c>
    </row>
    <row r="16165" spans="1:2" x14ac:dyDescent="0.2">
      <c r="A16165" t="str">
        <f>"TCF3"</f>
        <v>TCF3</v>
      </c>
      <c r="B16165" t="s">
        <v>3</v>
      </c>
    </row>
    <row r="16166" spans="1:2" x14ac:dyDescent="0.2">
      <c r="A16166" t="str">
        <f>"TCF4"</f>
        <v>TCF4</v>
      </c>
      <c r="B16166" t="s">
        <v>8</v>
      </c>
    </row>
    <row r="16167" spans="1:2" x14ac:dyDescent="0.2">
      <c r="A16167" t="str">
        <f>"TCF7"</f>
        <v>TCF7</v>
      </c>
      <c r="B16167" t="s">
        <v>8</v>
      </c>
    </row>
    <row r="16168" spans="1:2" x14ac:dyDescent="0.2">
      <c r="A16168" t="str">
        <f>"TCF7L1"</f>
        <v>TCF7L1</v>
      </c>
      <c r="B16168" t="s">
        <v>8</v>
      </c>
    </row>
    <row r="16169" spans="1:2" x14ac:dyDescent="0.2">
      <c r="A16169" t="str">
        <f>"TCF7L2"</f>
        <v>TCF7L2</v>
      </c>
      <c r="B16169" t="s">
        <v>3</v>
      </c>
    </row>
    <row r="16170" spans="1:2" x14ac:dyDescent="0.2">
      <c r="A16170" t="str">
        <f>"TCFL5"</f>
        <v>TCFL5</v>
      </c>
      <c r="B16170" t="s">
        <v>8</v>
      </c>
    </row>
    <row r="16171" spans="1:2" x14ac:dyDescent="0.2">
      <c r="A16171" t="str">
        <f>"TCHH"</f>
        <v>TCHH</v>
      </c>
      <c r="B16171" t="s">
        <v>4</v>
      </c>
    </row>
    <row r="16172" spans="1:2" x14ac:dyDescent="0.2">
      <c r="A16172" t="str">
        <f>"TCHHL1"</f>
        <v>TCHHL1</v>
      </c>
      <c r="B16172" t="s">
        <v>4</v>
      </c>
    </row>
    <row r="16173" spans="1:2" x14ac:dyDescent="0.2">
      <c r="A16173" t="str">
        <f>"TCHP"</f>
        <v>TCHP</v>
      </c>
      <c r="B16173" t="s">
        <v>6</v>
      </c>
    </row>
    <row r="16174" spans="1:2" x14ac:dyDescent="0.2">
      <c r="A16174" t="str">
        <f>"TCIRG1"</f>
        <v>TCIRG1</v>
      </c>
      <c r="B16174" t="s">
        <v>2</v>
      </c>
    </row>
    <row r="16175" spans="1:2" x14ac:dyDescent="0.2">
      <c r="A16175" t="str">
        <f>"TCL1A"</f>
        <v>TCL1A</v>
      </c>
      <c r="B16175" t="s">
        <v>3</v>
      </c>
    </row>
    <row r="16176" spans="1:2" x14ac:dyDescent="0.2">
      <c r="A16176" t="str">
        <f>"TCL1B"</f>
        <v>TCL1B</v>
      </c>
      <c r="B16176" t="s">
        <v>4</v>
      </c>
    </row>
    <row r="16177" spans="1:2" x14ac:dyDescent="0.2">
      <c r="A16177" t="str">
        <f>"TCN1"</f>
        <v>TCN1</v>
      </c>
      <c r="B16177" t="s">
        <v>7</v>
      </c>
    </row>
    <row r="16178" spans="1:2" x14ac:dyDescent="0.2">
      <c r="A16178" t="str">
        <f>"TCN2"</f>
        <v>TCN2</v>
      </c>
      <c r="B16178" t="s">
        <v>6</v>
      </c>
    </row>
    <row r="16179" spans="1:2" x14ac:dyDescent="0.2">
      <c r="A16179" t="str">
        <f>"TCOF1"</f>
        <v>TCOF1</v>
      </c>
      <c r="B16179" t="s">
        <v>3</v>
      </c>
    </row>
    <row r="16180" spans="1:2" x14ac:dyDescent="0.2">
      <c r="A16180" t="str">
        <f>"TCP1"</f>
        <v>TCP1</v>
      </c>
      <c r="B16180" t="s">
        <v>2</v>
      </c>
    </row>
    <row r="16181" spans="1:2" x14ac:dyDescent="0.2">
      <c r="A16181" t="str">
        <f>"TCP10"</f>
        <v>TCP10</v>
      </c>
      <c r="B16181" t="s">
        <v>4</v>
      </c>
    </row>
    <row r="16182" spans="1:2" x14ac:dyDescent="0.2">
      <c r="A16182" t="str">
        <f>"TCP10L"</f>
        <v>TCP10L</v>
      </c>
      <c r="B16182" t="s">
        <v>4</v>
      </c>
    </row>
    <row r="16183" spans="1:2" x14ac:dyDescent="0.2">
      <c r="A16183" t="str">
        <f>"TCP10L2"</f>
        <v>TCP10L2</v>
      </c>
      <c r="B16183" t="s">
        <v>4</v>
      </c>
    </row>
    <row r="16184" spans="1:2" x14ac:dyDescent="0.2">
      <c r="A16184" t="str">
        <f>"TCP11"</f>
        <v>TCP11</v>
      </c>
      <c r="B16184" t="s">
        <v>4</v>
      </c>
    </row>
    <row r="16185" spans="1:2" x14ac:dyDescent="0.2">
      <c r="A16185" t="str">
        <f>"TCP11L1"</f>
        <v>TCP11L1</v>
      </c>
      <c r="B16185" t="s">
        <v>4</v>
      </c>
    </row>
    <row r="16186" spans="1:2" x14ac:dyDescent="0.2">
      <c r="A16186" t="str">
        <f>"TCP11L2"</f>
        <v>TCP11L2</v>
      </c>
      <c r="B16186" t="s">
        <v>2</v>
      </c>
    </row>
    <row r="16187" spans="1:2" x14ac:dyDescent="0.2">
      <c r="A16187" t="str">
        <f>"TCP11X1"</f>
        <v>TCP11X1</v>
      </c>
      <c r="B16187" t="s">
        <v>4</v>
      </c>
    </row>
    <row r="16188" spans="1:2" x14ac:dyDescent="0.2">
      <c r="A16188" t="str">
        <f>"TCP11X2"</f>
        <v>TCP11X2</v>
      </c>
      <c r="B16188" t="s">
        <v>4</v>
      </c>
    </row>
    <row r="16189" spans="1:2" x14ac:dyDescent="0.2">
      <c r="A16189" t="str">
        <f>"TCTA"</f>
        <v>TCTA</v>
      </c>
      <c r="B16189" t="s">
        <v>5</v>
      </c>
    </row>
    <row r="16190" spans="1:2" x14ac:dyDescent="0.2">
      <c r="A16190" t="str">
        <f>"TCTE1"</f>
        <v>TCTE1</v>
      </c>
      <c r="B16190" t="s">
        <v>4</v>
      </c>
    </row>
    <row r="16191" spans="1:2" x14ac:dyDescent="0.2">
      <c r="A16191" t="str">
        <f>"TCTE3"</f>
        <v>TCTE3</v>
      </c>
      <c r="B16191" t="s">
        <v>4</v>
      </c>
    </row>
    <row r="16192" spans="1:2" x14ac:dyDescent="0.2">
      <c r="A16192" t="str">
        <f>"TCTEX1D1"</f>
        <v>TCTEX1D1</v>
      </c>
      <c r="B16192" t="s">
        <v>4</v>
      </c>
    </row>
    <row r="16193" spans="1:2" x14ac:dyDescent="0.2">
      <c r="A16193" t="str">
        <f>"TCTEX1D2"</f>
        <v>TCTEX1D2</v>
      </c>
      <c r="B16193" t="s">
        <v>4</v>
      </c>
    </row>
    <row r="16194" spans="1:2" x14ac:dyDescent="0.2">
      <c r="A16194" t="str">
        <f>"TCTEX1D4"</f>
        <v>TCTEX1D4</v>
      </c>
      <c r="B16194" t="s">
        <v>4</v>
      </c>
    </row>
    <row r="16195" spans="1:2" x14ac:dyDescent="0.2">
      <c r="A16195" t="str">
        <f>"TCTN1"</f>
        <v>TCTN1</v>
      </c>
      <c r="B16195" t="s">
        <v>4</v>
      </c>
    </row>
    <row r="16196" spans="1:2" x14ac:dyDescent="0.2">
      <c r="A16196" t="str">
        <f>"TCTN2"</f>
        <v>TCTN2</v>
      </c>
      <c r="B16196" t="s">
        <v>4</v>
      </c>
    </row>
    <row r="16197" spans="1:2" x14ac:dyDescent="0.2">
      <c r="A16197" t="str">
        <f>"TCTN3"</f>
        <v>TCTN3</v>
      </c>
      <c r="B16197" t="s">
        <v>5</v>
      </c>
    </row>
    <row r="16198" spans="1:2" x14ac:dyDescent="0.2">
      <c r="A16198" t="str">
        <f>"TDG"</f>
        <v>TDG</v>
      </c>
      <c r="B16198" t="s">
        <v>8</v>
      </c>
    </row>
    <row r="16199" spans="1:2" x14ac:dyDescent="0.2">
      <c r="A16199" t="str">
        <f>"TDGF1"</f>
        <v>TDGF1</v>
      </c>
      <c r="B16199" t="s">
        <v>3</v>
      </c>
    </row>
    <row r="16200" spans="1:2" x14ac:dyDescent="0.2">
      <c r="A16200" t="str">
        <f>"TDO2"</f>
        <v>TDO2</v>
      </c>
      <c r="B16200" t="s">
        <v>6</v>
      </c>
    </row>
    <row r="16201" spans="1:2" x14ac:dyDescent="0.2">
      <c r="A16201" t="str">
        <f>"TDP1"</f>
        <v>TDP1</v>
      </c>
      <c r="B16201" t="s">
        <v>3</v>
      </c>
    </row>
    <row r="16202" spans="1:2" x14ac:dyDescent="0.2">
      <c r="A16202" t="str">
        <f>"TDP2"</f>
        <v>TDP2</v>
      </c>
      <c r="B16202" t="s">
        <v>3</v>
      </c>
    </row>
    <row r="16203" spans="1:2" x14ac:dyDescent="0.2">
      <c r="A16203" t="str">
        <f>"TDRD1"</f>
        <v>TDRD1</v>
      </c>
      <c r="B16203" t="s">
        <v>4</v>
      </c>
    </row>
    <row r="16204" spans="1:2" x14ac:dyDescent="0.2">
      <c r="A16204" t="str">
        <f>"TDRD10"</f>
        <v>TDRD10</v>
      </c>
      <c r="B16204" t="s">
        <v>4</v>
      </c>
    </row>
    <row r="16205" spans="1:2" x14ac:dyDescent="0.2">
      <c r="A16205" t="str">
        <f>"TDRD12"</f>
        <v>TDRD12</v>
      </c>
      <c r="B16205" t="s">
        <v>4</v>
      </c>
    </row>
    <row r="16206" spans="1:2" x14ac:dyDescent="0.2">
      <c r="A16206" t="str">
        <f>"TDRD15"</f>
        <v>TDRD15</v>
      </c>
      <c r="B16206" t="s">
        <v>4</v>
      </c>
    </row>
    <row r="16207" spans="1:2" x14ac:dyDescent="0.2">
      <c r="A16207" t="str">
        <f>"TDRD3"</f>
        <v>TDRD3</v>
      </c>
      <c r="B16207" t="s">
        <v>2</v>
      </c>
    </row>
    <row r="16208" spans="1:2" x14ac:dyDescent="0.2">
      <c r="A16208" t="str">
        <f>"TDRD5"</f>
        <v>TDRD5</v>
      </c>
      <c r="B16208" t="s">
        <v>2</v>
      </c>
    </row>
    <row r="16209" spans="1:2" x14ac:dyDescent="0.2">
      <c r="A16209" t="str">
        <f>"TDRD6"</f>
        <v>TDRD6</v>
      </c>
      <c r="B16209" t="s">
        <v>6</v>
      </c>
    </row>
    <row r="16210" spans="1:2" x14ac:dyDescent="0.2">
      <c r="A16210" t="str">
        <f>"TDRD7"</f>
        <v>TDRD7</v>
      </c>
      <c r="B16210" t="s">
        <v>6</v>
      </c>
    </row>
    <row r="16211" spans="1:2" x14ac:dyDescent="0.2">
      <c r="A16211" t="str">
        <f>"TDRD9"</f>
        <v>TDRD9</v>
      </c>
      <c r="B16211" t="s">
        <v>8</v>
      </c>
    </row>
    <row r="16212" spans="1:2" x14ac:dyDescent="0.2">
      <c r="A16212" t="str">
        <f>"TDRKH"</f>
        <v>TDRKH</v>
      </c>
      <c r="B16212" t="s">
        <v>6</v>
      </c>
    </row>
    <row r="16213" spans="1:2" x14ac:dyDescent="0.2">
      <c r="A16213" t="str">
        <f>"TDRP"</f>
        <v>TDRP</v>
      </c>
      <c r="B16213" t="s">
        <v>4</v>
      </c>
    </row>
    <row r="16214" spans="1:2" x14ac:dyDescent="0.2">
      <c r="A16214" t="str">
        <f>"TEAD1"</f>
        <v>TEAD1</v>
      </c>
      <c r="B16214" t="s">
        <v>8</v>
      </c>
    </row>
    <row r="16215" spans="1:2" x14ac:dyDescent="0.2">
      <c r="A16215" t="str">
        <f>"TEAD2"</f>
        <v>TEAD2</v>
      </c>
      <c r="B16215" t="s">
        <v>8</v>
      </c>
    </row>
    <row r="16216" spans="1:2" x14ac:dyDescent="0.2">
      <c r="A16216" t="str">
        <f>"TEAD3"</f>
        <v>TEAD3</v>
      </c>
      <c r="B16216" t="s">
        <v>8</v>
      </c>
    </row>
    <row r="16217" spans="1:2" x14ac:dyDescent="0.2">
      <c r="A16217" t="str">
        <f>"TEAD4"</f>
        <v>TEAD4</v>
      </c>
      <c r="B16217" t="s">
        <v>8</v>
      </c>
    </row>
    <row r="16218" spans="1:2" x14ac:dyDescent="0.2">
      <c r="A16218" t="str">
        <f>"TEC"</f>
        <v>TEC</v>
      </c>
      <c r="B16218" t="s">
        <v>7</v>
      </c>
    </row>
    <row r="16219" spans="1:2" x14ac:dyDescent="0.2">
      <c r="A16219" t="str">
        <f>"TECPR1"</f>
        <v>TECPR1</v>
      </c>
      <c r="B16219" t="s">
        <v>2</v>
      </c>
    </row>
    <row r="16220" spans="1:2" x14ac:dyDescent="0.2">
      <c r="A16220" t="str">
        <f>"TECPR2"</f>
        <v>TECPR2</v>
      </c>
      <c r="B16220" t="s">
        <v>4</v>
      </c>
    </row>
    <row r="16221" spans="1:2" x14ac:dyDescent="0.2">
      <c r="A16221" t="str">
        <f>"TECR"</f>
        <v>TECR</v>
      </c>
      <c r="B16221" t="s">
        <v>6</v>
      </c>
    </row>
    <row r="16222" spans="1:2" x14ac:dyDescent="0.2">
      <c r="A16222" t="str">
        <f>"TECRL"</f>
        <v>TECRL</v>
      </c>
      <c r="B16222" t="s">
        <v>2</v>
      </c>
    </row>
    <row r="16223" spans="1:2" x14ac:dyDescent="0.2">
      <c r="A16223" t="str">
        <f>"TECTA"</f>
        <v>TECTA</v>
      </c>
      <c r="B16223" t="s">
        <v>5</v>
      </c>
    </row>
    <row r="16224" spans="1:2" x14ac:dyDescent="0.2">
      <c r="A16224" t="str">
        <f>"TECTB"</f>
        <v>TECTB</v>
      </c>
      <c r="B16224" t="s">
        <v>4</v>
      </c>
    </row>
    <row r="16225" spans="1:2" x14ac:dyDescent="0.2">
      <c r="A16225" t="str">
        <f>"TEDDM1"</f>
        <v>TEDDM1</v>
      </c>
      <c r="B16225" t="s">
        <v>5</v>
      </c>
    </row>
    <row r="16226" spans="1:2" x14ac:dyDescent="0.2">
      <c r="A16226" t="str">
        <f>"TEF"</f>
        <v>TEF</v>
      </c>
      <c r="B16226" t="s">
        <v>8</v>
      </c>
    </row>
    <row r="16227" spans="1:2" x14ac:dyDescent="0.2">
      <c r="A16227" t="str">
        <f>"TEFM"</f>
        <v>TEFM</v>
      </c>
      <c r="B16227" t="s">
        <v>6</v>
      </c>
    </row>
    <row r="16228" spans="1:2" x14ac:dyDescent="0.2">
      <c r="A16228" t="str">
        <f>"TEK"</f>
        <v>TEK</v>
      </c>
      <c r="B16228" t="s">
        <v>7</v>
      </c>
    </row>
    <row r="16229" spans="1:2" x14ac:dyDescent="0.2">
      <c r="A16229" t="str">
        <f>"TEKT1"</f>
        <v>TEKT1</v>
      </c>
      <c r="B16229" t="s">
        <v>8</v>
      </c>
    </row>
    <row r="16230" spans="1:2" x14ac:dyDescent="0.2">
      <c r="A16230" t="str">
        <f>"TEKT2"</f>
        <v>TEKT2</v>
      </c>
      <c r="B16230" t="s">
        <v>6</v>
      </c>
    </row>
    <row r="16231" spans="1:2" x14ac:dyDescent="0.2">
      <c r="A16231" t="str">
        <f>"TEKT3"</f>
        <v>TEKT3</v>
      </c>
      <c r="B16231" t="s">
        <v>6</v>
      </c>
    </row>
    <row r="16232" spans="1:2" x14ac:dyDescent="0.2">
      <c r="A16232" t="str">
        <f>"TEKT4"</f>
        <v>TEKT4</v>
      </c>
      <c r="B16232" t="s">
        <v>8</v>
      </c>
    </row>
    <row r="16233" spans="1:2" x14ac:dyDescent="0.2">
      <c r="A16233" t="str">
        <f>"TEKT5"</f>
        <v>TEKT5</v>
      </c>
      <c r="B16233" t="s">
        <v>6</v>
      </c>
    </row>
    <row r="16234" spans="1:2" x14ac:dyDescent="0.2">
      <c r="A16234" t="str">
        <f>"TELO2"</f>
        <v>TELO2</v>
      </c>
      <c r="B16234" t="s">
        <v>4</v>
      </c>
    </row>
    <row r="16235" spans="1:2" x14ac:dyDescent="0.2">
      <c r="A16235" t="str">
        <f>"TEN1"</f>
        <v>TEN1</v>
      </c>
      <c r="B16235" t="s">
        <v>4</v>
      </c>
    </row>
    <row r="16236" spans="1:2" x14ac:dyDescent="0.2">
      <c r="A16236" t="str">
        <f>"TENC1"</f>
        <v>TENC1</v>
      </c>
      <c r="B16236" t="s">
        <v>7</v>
      </c>
    </row>
    <row r="16237" spans="1:2" x14ac:dyDescent="0.2">
      <c r="A16237" t="str">
        <f>"TENM1"</f>
        <v>TENM1</v>
      </c>
      <c r="B16237" t="s">
        <v>3</v>
      </c>
    </row>
    <row r="16238" spans="1:2" x14ac:dyDescent="0.2">
      <c r="A16238" t="str">
        <f>"TENM2"</f>
        <v>TENM2</v>
      </c>
      <c r="B16238" t="s">
        <v>5</v>
      </c>
    </row>
    <row r="16239" spans="1:2" x14ac:dyDescent="0.2">
      <c r="A16239" t="str">
        <f>"TENM3"</f>
        <v>TENM3</v>
      </c>
      <c r="B16239" t="s">
        <v>4</v>
      </c>
    </row>
    <row r="16240" spans="1:2" x14ac:dyDescent="0.2">
      <c r="A16240" t="str">
        <f>"TENM4"</f>
        <v>TENM4</v>
      </c>
      <c r="B16240" t="s">
        <v>5</v>
      </c>
    </row>
    <row r="16241" spans="1:2" x14ac:dyDescent="0.2">
      <c r="A16241" t="str">
        <f>"TEP1"</f>
        <v>TEP1</v>
      </c>
      <c r="B16241" t="s">
        <v>8</v>
      </c>
    </row>
    <row r="16242" spans="1:2" x14ac:dyDescent="0.2">
      <c r="A16242" t="str">
        <f>"TEPP"</f>
        <v>TEPP</v>
      </c>
      <c r="B16242" t="s">
        <v>4</v>
      </c>
    </row>
    <row r="16243" spans="1:2" x14ac:dyDescent="0.2">
      <c r="A16243" t="str">
        <f>"TERF1"</f>
        <v>TERF1</v>
      </c>
      <c r="B16243" t="s">
        <v>3</v>
      </c>
    </row>
    <row r="16244" spans="1:2" x14ac:dyDescent="0.2">
      <c r="A16244" t="str">
        <f>"TERF2"</f>
        <v>TERF2</v>
      </c>
      <c r="B16244" t="s">
        <v>3</v>
      </c>
    </row>
    <row r="16245" spans="1:2" x14ac:dyDescent="0.2">
      <c r="A16245" t="str">
        <f>"TERF2IP"</f>
        <v>TERF2IP</v>
      </c>
      <c r="B16245" t="s">
        <v>8</v>
      </c>
    </row>
    <row r="16246" spans="1:2" x14ac:dyDescent="0.2">
      <c r="A16246" t="str">
        <f>"TERT"</f>
        <v>TERT</v>
      </c>
      <c r="B16246" t="s">
        <v>3</v>
      </c>
    </row>
    <row r="16247" spans="1:2" x14ac:dyDescent="0.2">
      <c r="A16247" t="str">
        <f>"TES"</f>
        <v>TES</v>
      </c>
      <c r="B16247" t="s">
        <v>3</v>
      </c>
    </row>
    <row r="16248" spans="1:2" x14ac:dyDescent="0.2">
      <c r="A16248" t="str">
        <f>"TESC"</f>
        <v>TESC</v>
      </c>
      <c r="B16248" t="s">
        <v>4</v>
      </c>
    </row>
    <row r="16249" spans="1:2" x14ac:dyDescent="0.2">
      <c r="A16249" t="str">
        <f>"TESK1"</f>
        <v>TESK1</v>
      </c>
      <c r="B16249" t="s">
        <v>7</v>
      </c>
    </row>
    <row r="16250" spans="1:2" x14ac:dyDescent="0.2">
      <c r="A16250" t="str">
        <f>"TESK2"</f>
        <v>TESK2</v>
      </c>
      <c r="B16250" t="s">
        <v>7</v>
      </c>
    </row>
    <row r="16251" spans="1:2" x14ac:dyDescent="0.2">
      <c r="A16251" t="str">
        <f>"TESPA1"</f>
        <v>TESPA1</v>
      </c>
      <c r="B16251" t="s">
        <v>4</v>
      </c>
    </row>
    <row r="16252" spans="1:2" x14ac:dyDescent="0.2">
      <c r="A16252" t="str">
        <f>"TET1"</f>
        <v>TET1</v>
      </c>
      <c r="B16252" t="s">
        <v>3</v>
      </c>
    </row>
    <row r="16253" spans="1:2" x14ac:dyDescent="0.2">
      <c r="A16253" t="str">
        <f>"TET2"</f>
        <v>TET2</v>
      </c>
      <c r="B16253" t="s">
        <v>4</v>
      </c>
    </row>
    <row r="16254" spans="1:2" x14ac:dyDescent="0.2">
      <c r="A16254" t="str">
        <f>"TET3"</f>
        <v>TET3</v>
      </c>
      <c r="B16254" t="s">
        <v>4</v>
      </c>
    </row>
    <row r="16255" spans="1:2" x14ac:dyDescent="0.2">
      <c r="A16255" t="str">
        <f>"TEX10"</f>
        <v>TEX10</v>
      </c>
      <c r="B16255" t="s">
        <v>5</v>
      </c>
    </row>
    <row r="16256" spans="1:2" x14ac:dyDescent="0.2">
      <c r="A16256" t="str">
        <f>"TEX101"</f>
        <v>TEX101</v>
      </c>
      <c r="B16256" t="s">
        <v>6</v>
      </c>
    </row>
    <row r="16257" spans="1:2" x14ac:dyDescent="0.2">
      <c r="A16257" t="str">
        <f>"TEX11"</f>
        <v>TEX11</v>
      </c>
      <c r="B16257" t="s">
        <v>3</v>
      </c>
    </row>
    <row r="16258" spans="1:2" x14ac:dyDescent="0.2">
      <c r="A16258" t="str">
        <f>"TEX12"</f>
        <v>TEX12</v>
      </c>
      <c r="B16258" t="s">
        <v>4</v>
      </c>
    </row>
    <row r="16259" spans="1:2" x14ac:dyDescent="0.2">
      <c r="A16259" t="str">
        <f>"TEX13A"</f>
        <v>TEX13A</v>
      </c>
      <c r="B16259" t="s">
        <v>4</v>
      </c>
    </row>
    <row r="16260" spans="1:2" x14ac:dyDescent="0.2">
      <c r="A16260" t="str">
        <f>"TEX13B"</f>
        <v>TEX13B</v>
      </c>
      <c r="B16260" t="s">
        <v>4</v>
      </c>
    </row>
    <row r="16261" spans="1:2" x14ac:dyDescent="0.2">
      <c r="A16261" t="str">
        <f>"TEX14"</f>
        <v>TEX14</v>
      </c>
      <c r="B16261" t="s">
        <v>7</v>
      </c>
    </row>
    <row r="16262" spans="1:2" x14ac:dyDescent="0.2">
      <c r="A16262" t="str">
        <f>"TEX15"</f>
        <v>TEX15</v>
      </c>
      <c r="B16262" t="s">
        <v>8</v>
      </c>
    </row>
    <row r="16263" spans="1:2" x14ac:dyDescent="0.2">
      <c r="A16263" t="str">
        <f>"TEX19"</f>
        <v>TEX19</v>
      </c>
      <c r="B16263" t="s">
        <v>4</v>
      </c>
    </row>
    <row r="16264" spans="1:2" x14ac:dyDescent="0.2">
      <c r="A16264" t="str">
        <f>"TEX2"</f>
        <v>TEX2</v>
      </c>
      <c r="B16264" t="s">
        <v>5</v>
      </c>
    </row>
    <row r="16265" spans="1:2" x14ac:dyDescent="0.2">
      <c r="A16265" t="str">
        <f>"TEX22"</f>
        <v>TEX22</v>
      </c>
      <c r="B16265" t="s">
        <v>4</v>
      </c>
    </row>
    <row r="16266" spans="1:2" x14ac:dyDescent="0.2">
      <c r="A16266" t="str">
        <f>"TEX26"</f>
        <v>TEX26</v>
      </c>
      <c r="B16266" t="s">
        <v>4</v>
      </c>
    </row>
    <row r="16267" spans="1:2" x14ac:dyDescent="0.2">
      <c r="A16267" t="str">
        <f>"TEX261"</f>
        <v>TEX261</v>
      </c>
      <c r="B16267" t="s">
        <v>2</v>
      </c>
    </row>
    <row r="16268" spans="1:2" x14ac:dyDescent="0.2">
      <c r="A16268" t="str">
        <f>"TEX264"</f>
        <v>TEX264</v>
      </c>
      <c r="B16268" t="s">
        <v>6</v>
      </c>
    </row>
    <row r="16269" spans="1:2" x14ac:dyDescent="0.2">
      <c r="A16269" t="str">
        <f>"TEX28"</f>
        <v>TEX28</v>
      </c>
      <c r="B16269" t="s">
        <v>5</v>
      </c>
    </row>
    <row r="16270" spans="1:2" x14ac:dyDescent="0.2">
      <c r="A16270" t="str">
        <f>"TEX29"</f>
        <v>TEX29</v>
      </c>
      <c r="B16270" t="s">
        <v>3</v>
      </c>
    </row>
    <row r="16271" spans="1:2" x14ac:dyDescent="0.2">
      <c r="A16271" t="str">
        <f>"TEX30"</f>
        <v>TEX30</v>
      </c>
      <c r="B16271" t="s">
        <v>3</v>
      </c>
    </row>
    <row r="16272" spans="1:2" x14ac:dyDescent="0.2">
      <c r="A16272" t="str">
        <f>"TEX33"</f>
        <v>TEX33</v>
      </c>
      <c r="B16272" t="s">
        <v>4</v>
      </c>
    </row>
    <row r="16273" spans="1:2" x14ac:dyDescent="0.2">
      <c r="A16273" t="str">
        <f>"TEX35"</f>
        <v>TEX35</v>
      </c>
      <c r="B16273" t="s">
        <v>6</v>
      </c>
    </row>
    <row r="16274" spans="1:2" x14ac:dyDescent="0.2">
      <c r="A16274" t="str">
        <f>"TEX36"</f>
        <v>TEX36</v>
      </c>
      <c r="B16274" t="s">
        <v>4</v>
      </c>
    </row>
    <row r="16275" spans="1:2" x14ac:dyDescent="0.2">
      <c r="A16275" t="str">
        <f>"TEX37"</f>
        <v>TEX37</v>
      </c>
      <c r="B16275" t="s">
        <v>4</v>
      </c>
    </row>
    <row r="16276" spans="1:2" x14ac:dyDescent="0.2">
      <c r="A16276" t="str">
        <f>"TEX38"</f>
        <v>TEX38</v>
      </c>
      <c r="B16276" t="s">
        <v>4</v>
      </c>
    </row>
    <row r="16277" spans="1:2" x14ac:dyDescent="0.2">
      <c r="A16277" t="str">
        <f>"TEX40"</f>
        <v>TEX40</v>
      </c>
      <c r="B16277" t="s">
        <v>4</v>
      </c>
    </row>
    <row r="16278" spans="1:2" x14ac:dyDescent="0.2">
      <c r="A16278" t="str">
        <f>"TEX9"</f>
        <v>TEX9</v>
      </c>
      <c r="B16278" t="s">
        <v>6</v>
      </c>
    </row>
    <row r="16279" spans="1:2" x14ac:dyDescent="0.2">
      <c r="A16279" t="str">
        <f>"TF"</f>
        <v>TF</v>
      </c>
      <c r="B16279" t="s">
        <v>7</v>
      </c>
    </row>
    <row r="16280" spans="1:2" x14ac:dyDescent="0.2">
      <c r="A16280" t="str">
        <f>"TFAM"</f>
        <v>TFAM</v>
      </c>
      <c r="B16280" t="s">
        <v>3</v>
      </c>
    </row>
    <row r="16281" spans="1:2" x14ac:dyDescent="0.2">
      <c r="A16281" t="str">
        <f>"TFAP2A"</f>
        <v>TFAP2A</v>
      </c>
      <c r="B16281" t="s">
        <v>3</v>
      </c>
    </row>
    <row r="16282" spans="1:2" x14ac:dyDescent="0.2">
      <c r="A16282" t="str">
        <f>"TFAP2B"</f>
        <v>TFAP2B</v>
      </c>
      <c r="B16282" t="s">
        <v>8</v>
      </c>
    </row>
    <row r="16283" spans="1:2" x14ac:dyDescent="0.2">
      <c r="A16283" t="str">
        <f>"TFAP2C"</f>
        <v>TFAP2C</v>
      </c>
      <c r="B16283" t="s">
        <v>8</v>
      </c>
    </row>
    <row r="16284" spans="1:2" x14ac:dyDescent="0.2">
      <c r="A16284" t="str">
        <f>"TFAP2D"</f>
        <v>TFAP2D</v>
      </c>
      <c r="B16284" t="s">
        <v>8</v>
      </c>
    </row>
    <row r="16285" spans="1:2" x14ac:dyDescent="0.2">
      <c r="A16285" t="str">
        <f>"TFAP2E"</f>
        <v>TFAP2E</v>
      </c>
      <c r="B16285" t="s">
        <v>8</v>
      </c>
    </row>
    <row r="16286" spans="1:2" x14ac:dyDescent="0.2">
      <c r="A16286" t="str">
        <f>"TFAP4"</f>
        <v>TFAP4</v>
      </c>
      <c r="B16286" t="s">
        <v>8</v>
      </c>
    </row>
    <row r="16287" spans="1:2" x14ac:dyDescent="0.2">
      <c r="A16287" t="str">
        <f>"TFB1M"</f>
        <v>TFB1M</v>
      </c>
      <c r="B16287" t="s">
        <v>6</v>
      </c>
    </row>
    <row r="16288" spans="1:2" x14ac:dyDescent="0.2">
      <c r="A16288" t="str">
        <f>"TFB2M"</f>
        <v>TFB2M</v>
      </c>
      <c r="B16288" t="s">
        <v>6</v>
      </c>
    </row>
    <row r="16289" spans="1:2" x14ac:dyDescent="0.2">
      <c r="A16289" t="str">
        <f>"TFCP2"</f>
        <v>TFCP2</v>
      </c>
      <c r="B16289" t="s">
        <v>2</v>
      </c>
    </row>
    <row r="16290" spans="1:2" x14ac:dyDescent="0.2">
      <c r="A16290" t="str">
        <f>"TFCP2L1"</f>
        <v>TFCP2L1</v>
      </c>
      <c r="B16290" t="s">
        <v>6</v>
      </c>
    </row>
    <row r="16291" spans="1:2" x14ac:dyDescent="0.2">
      <c r="A16291" t="str">
        <f>"TFDP1"</f>
        <v>TFDP1</v>
      </c>
      <c r="B16291" t="s">
        <v>3</v>
      </c>
    </row>
    <row r="16292" spans="1:2" x14ac:dyDescent="0.2">
      <c r="A16292" t="str">
        <f>"TFDP2"</f>
        <v>TFDP2</v>
      </c>
      <c r="B16292" t="s">
        <v>3</v>
      </c>
    </row>
    <row r="16293" spans="1:2" x14ac:dyDescent="0.2">
      <c r="A16293" t="str">
        <f>"TFDP3"</f>
        <v>TFDP3</v>
      </c>
      <c r="B16293" t="s">
        <v>8</v>
      </c>
    </row>
    <row r="16294" spans="1:2" x14ac:dyDescent="0.2">
      <c r="A16294" t="str">
        <f>"TFE3"</f>
        <v>TFE3</v>
      </c>
      <c r="B16294" t="s">
        <v>3</v>
      </c>
    </row>
    <row r="16295" spans="1:2" x14ac:dyDescent="0.2">
      <c r="A16295" t="str">
        <f>"TFEB"</f>
        <v>TFEB</v>
      </c>
      <c r="B16295" t="s">
        <v>3</v>
      </c>
    </row>
    <row r="16296" spans="1:2" x14ac:dyDescent="0.2">
      <c r="A16296" t="str">
        <f>"TFEC"</f>
        <v>TFEC</v>
      </c>
      <c r="B16296" t="s">
        <v>8</v>
      </c>
    </row>
    <row r="16297" spans="1:2" x14ac:dyDescent="0.2">
      <c r="A16297" t="str">
        <f>"TFF1"</f>
        <v>TFF1</v>
      </c>
      <c r="B16297" t="s">
        <v>2</v>
      </c>
    </row>
    <row r="16298" spans="1:2" x14ac:dyDescent="0.2">
      <c r="A16298" t="str">
        <f>"TFF2"</f>
        <v>TFF2</v>
      </c>
      <c r="B16298" t="s">
        <v>7</v>
      </c>
    </row>
    <row r="16299" spans="1:2" x14ac:dyDescent="0.2">
      <c r="A16299" t="str">
        <f>"TFF3"</f>
        <v>TFF3</v>
      </c>
      <c r="B16299" t="s">
        <v>6</v>
      </c>
    </row>
    <row r="16300" spans="1:2" x14ac:dyDescent="0.2">
      <c r="A16300" t="str">
        <f>"TFG"</f>
        <v>TFG</v>
      </c>
      <c r="B16300" t="s">
        <v>3</v>
      </c>
    </row>
    <row r="16301" spans="1:2" x14ac:dyDescent="0.2">
      <c r="A16301" t="str">
        <f>"TFIP11"</f>
        <v>TFIP11</v>
      </c>
      <c r="B16301" t="s">
        <v>8</v>
      </c>
    </row>
    <row r="16302" spans="1:2" x14ac:dyDescent="0.2">
      <c r="A16302" t="str">
        <f>"TFPI"</f>
        <v>TFPI</v>
      </c>
      <c r="B16302" t="s">
        <v>7</v>
      </c>
    </row>
    <row r="16303" spans="1:2" x14ac:dyDescent="0.2">
      <c r="A16303" t="str">
        <f>"TFPI2"</f>
        <v>TFPI2</v>
      </c>
      <c r="B16303" t="s">
        <v>3</v>
      </c>
    </row>
    <row r="16304" spans="1:2" x14ac:dyDescent="0.2">
      <c r="A16304" t="str">
        <f>"TFPT"</f>
        <v>TFPT</v>
      </c>
      <c r="B16304" t="s">
        <v>3</v>
      </c>
    </row>
    <row r="16305" spans="1:2" x14ac:dyDescent="0.2">
      <c r="A16305" t="str">
        <f>"TFR2"</f>
        <v>TFR2</v>
      </c>
      <c r="B16305" t="s">
        <v>2</v>
      </c>
    </row>
    <row r="16306" spans="1:2" x14ac:dyDescent="0.2">
      <c r="A16306" t="str">
        <f>"TFRC"</f>
        <v>TFRC</v>
      </c>
      <c r="B16306" t="s">
        <v>3</v>
      </c>
    </row>
    <row r="16307" spans="1:2" x14ac:dyDescent="0.2">
      <c r="A16307" t="str">
        <f>"TG"</f>
        <v>TG</v>
      </c>
      <c r="B16307" t="s">
        <v>3</v>
      </c>
    </row>
    <row r="16308" spans="1:2" x14ac:dyDescent="0.2">
      <c r="A16308" t="str">
        <f>"TGDS"</f>
        <v>TGDS</v>
      </c>
      <c r="B16308" t="s">
        <v>3</v>
      </c>
    </row>
    <row r="16309" spans="1:2" x14ac:dyDescent="0.2">
      <c r="A16309" t="str">
        <f>"TGFA"</f>
        <v>TGFA</v>
      </c>
      <c r="B16309" t="s">
        <v>3</v>
      </c>
    </row>
    <row r="16310" spans="1:2" x14ac:dyDescent="0.2">
      <c r="A16310" t="str">
        <f>"TGFB1"</f>
        <v>TGFB1</v>
      </c>
      <c r="B16310" t="s">
        <v>3</v>
      </c>
    </row>
    <row r="16311" spans="1:2" x14ac:dyDescent="0.2">
      <c r="A16311" t="str">
        <f>"TGFB1I1"</f>
        <v>TGFB1I1</v>
      </c>
      <c r="B16311" t="s">
        <v>8</v>
      </c>
    </row>
    <row r="16312" spans="1:2" x14ac:dyDescent="0.2">
      <c r="A16312" t="str">
        <f>"TGFB2"</f>
        <v>TGFB2</v>
      </c>
      <c r="B16312" t="s">
        <v>3</v>
      </c>
    </row>
    <row r="16313" spans="1:2" x14ac:dyDescent="0.2">
      <c r="A16313" t="str">
        <f>"TGFB3"</f>
        <v>TGFB3</v>
      </c>
      <c r="B16313" t="s">
        <v>3</v>
      </c>
    </row>
    <row r="16314" spans="1:2" x14ac:dyDescent="0.2">
      <c r="A16314" t="str">
        <f>"TGFBI"</f>
        <v>TGFBI</v>
      </c>
      <c r="B16314" t="s">
        <v>3</v>
      </c>
    </row>
    <row r="16315" spans="1:2" x14ac:dyDescent="0.2">
      <c r="A16315" t="str">
        <f>"TGFBR1"</f>
        <v>TGFBR1</v>
      </c>
      <c r="B16315" t="s">
        <v>7</v>
      </c>
    </row>
    <row r="16316" spans="1:2" x14ac:dyDescent="0.2">
      <c r="A16316" t="str">
        <f>"TGFBR2"</f>
        <v>TGFBR2</v>
      </c>
      <c r="B16316" t="s">
        <v>7</v>
      </c>
    </row>
    <row r="16317" spans="1:2" x14ac:dyDescent="0.2">
      <c r="A16317" t="str">
        <f>"TGFBR3"</f>
        <v>TGFBR3</v>
      </c>
      <c r="B16317" t="s">
        <v>5</v>
      </c>
    </row>
    <row r="16318" spans="1:2" x14ac:dyDescent="0.2">
      <c r="A16318" t="str">
        <f>"TGFBR3L"</f>
        <v>TGFBR3L</v>
      </c>
      <c r="B16318" t="s">
        <v>5</v>
      </c>
    </row>
    <row r="16319" spans="1:2" x14ac:dyDescent="0.2">
      <c r="A16319" t="str">
        <f>"TGFBRAP1"</f>
        <v>TGFBRAP1</v>
      </c>
      <c r="B16319" t="s">
        <v>6</v>
      </c>
    </row>
    <row r="16320" spans="1:2" x14ac:dyDescent="0.2">
      <c r="A16320" t="str">
        <f>"TGIF1"</f>
        <v>TGIF1</v>
      </c>
      <c r="B16320" t="s">
        <v>8</v>
      </c>
    </row>
    <row r="16321" spans="1:2" x14ac:dyDescent="0.2">
      <c r="A16321" t="str">
        <f>"TGIF2"</f>
        <v>TGIF2</v>
      </c>
      <c r="B16321" t="s">
        <v>8</v>
      </c>
    </row>
    <row r="16322" spans="1:2" x14ac:dyDescent="0.2">
      <c r="A16322" t="str">
        <f>"TGIF2-C20orf24"</f>
        <v>TGIF2-C20orf24</v>
      </c>
      <c r="B16322" t="s">
        <v>4</v>
      </c>
    </row>
    <row r="16323" spans="1:2" x14ac:dyDescent="0.2">
      <c r="A16323" t="str">
        <f>"TGIF2LX"</f>
        <v>TGIF2LX</v>
      </c>
      <c r="B16323" t="s">
        <v>8</v>
      </c>
    </row>
    <row r="16324" spans="1:2" x14ac:dyDescent="0.2">
      <c r="A16324" t="str">
        <f>"TGIF2LY"</f>
        <v>TGIF2LY</v>
      </c>
      <c r="B16324" t="s">
        <v>8</v>
      </c>
    </row>
    <row r="16325" spans="1:2" x14ac:dyDescent="0.2">
      <c r="A16325" t="str">
        <f>"TGM1"</f>
        <v>TGM1</v>
      </c>
      <c r="B16325" t="s">
        <v>4</v>
      </c>
    </row>
    <row r="16326" spans="1:2" x14ac:dyDescent="0.2">
      <c r="A16326" t="str">
        <f>"TGM2"</f>
        <v>TGM2</v>
      </c>
      <c r="B16326" t="s">
        <v>7</v>
      </c>
    </row>
    <row r="16327" spans="1:2" x14ac:dyDescent="0.2">
      <c r="A16327" t="str">
        <f>"TGM3"</f>
        <v>TGM3</v>
      </c>
      <c r="B16327" t="s">
        <v>3</v>
      </c>
    </row>
    <row r="16328" spans="1:2" x14ac:dyDescent="0.2">
      <c r="A16328" t="str">
        <f>"TGM4"</f>
        <v>TGM4</v>
      </c>
      <c r="B16328" t="s">
        <v>4</v>
      </c>
    </row>
    <row r="16329" spans="1:2" x14ac:dyDescent="0.2">
      <c r="A16329" t="str">
        <f>"TGM5"</f>
        <v>TGM5</v>
      </c>
      <c r="B16329" t="s">
        <v>4</v>
      </c>
    </row>
    <row r="16330" spans="1:2" x14ac:dyDescent="0.2">
      <c r="A16330" t="str">
        <f>"TGM6"</f>
        <v>TGM6</v>
      </c>
      <c r="B16330" t="s">
        <v>4</v>
      </c>
    </row>
    <row r="16331" spans="1:2" x14ac:dyDescent="0.2">
      <c r="A16331" t="str">
        <f>"TGM7"</f>
        <v>TGM7</v>
      </c>
      <c r="B16331" t="s">
        <v>4</v>
      </c>
    </row>
    <row r="16332" spans="1:2" x14ac:dyDescent="0.2">
      <c r="A16332" t="str">
        <f>"TGOLN2"</f>
        <v>TGOLN2</v>
      </c>
      <c r="B16332" t="s">
        <v>2</v>
      </c>
    </row>
    <row r="16333" spans="1:2" x14ac:dyDescent="0.2">
      <c r="A16333" t="str">
        <f>"TGS1"</f>
        <v>TGS1</v>
      </c>
      <c r="B16333" t="s">
        <v>8</v>
      </c>
    </row>
    <row r="16334" spans="1:2" x14ac:dyDescent="0.2">
      <c r="A16334" t="str">
        <f>"TH"</f>
        <v>TH</v>
      </c>
      <c r="B16334" t="s">
        <v>7</v>
      </c>
    </row>
    <row r="16335" spans="1:2" x14ac:dyDescent="0.2">
      <c r="A16335" t="str">
        <f>"THADA"</f>
        <v>THADA</v>
      </c>
      <c r="B16335" t="s">
        <v>4</v>
      </c>
    </row>
    <row r="16336" spans="1:2" x14ac:dyDescent="0.2">
      <c r="A16336" t="str">
        <f>"THAP1"</f>
        <v>THAP1</v>
      </c>
      <c r="B16336" t="s">
        <v>8</v>
      </c>
    </row>
    <row r="16337" spans="1:2" x14ac:dyDescent="0.2">
      <c r="A16337" t="str">
        <f>"THAP10"</f>
        <v>THAP10</v>
      </c>
      <c r="B16337" t="s">
        <v>8</v>
      </c>
    </row>
    <row r="16338" spans="1:2" x14ac:dyDescent="0.2">
      <c r="A16338" t="str">
        <f>"THAP11"</f>
        <v>THAP11</v>
      </c>
      <c r="B16338" t="s">
        <v>8</v>
      </c>
    </row>
    <row r="16339" spans="1:2" x14ac:dyDescent="0.2">
      <c r="A16339" t="str">
        <f>"THAP2"</f>
        <v>THAP2</v>
      </c>
      <c r="B16339" t="s">
        <v>8</v>
      </c>
    </row>
    <row r="16340" spans="1:2" x14ac:dyDescent="0.2">
      <c r="A16340" t="str">
        <f>"THAP3"</f>
        <v>THAP3</v>
      </c>
      <c r="B16340" t="s">
        <v>8</v>
      </c>
    </row>
    <row r="16341" spans="1:2" x14ac:dyDescent="0.2">
      <c r="A16341" t="str">
        <f>"THAP4"</f>
        <v>THAP4</v>
      </c>
      <c r="B16341" t="s">
        <v>8</v>
      </c>
    </row>
    <row r="16342" spans="1:2" x14ac:dyDescent="0.2">
      <c r="A16342" t="str">
        <f>"THAP5"</f>
        <v>THAP5</v>
      </c>
      <c r="B16342" t="s">
        <v>2</v>
      </c>
    </row>
    <row r="16343" spans="1:2" x14ac:dyDescent="0.2">
      <c r="A16343" t="str">
        <f>"THAP6"</f>
        <v>THAP6</v>
      </c>
      <c r="B16343" t="s">
        <v>8</v>
      </c>
    </row>
    <row r="16344" spans="1:2" x14ac:dyDescent="0.2">
      <c r="A16344" t="str">
        <f>"THAP7"</f>
        <v>THAP7</v>
      </c>
      <c r="B16344" t="s">
        <v>8</v>
      </c>
    </row>
    <row r="16345" spans="1:2" x14ac:dyDescent="0.2">
      <c r="A16345" t="str">
        <f>"THAP8"</f>
        <v>THAP8</v>
      </c>
      <c r="B16345" t="s">
        <v>8</v>
      </c>
    </row>
    <row r="16346" spans="1:2" x14ac:dyDescent="0.2">
      <c r="A16346" t="str">
        <f>"THAP9"</f>
        <v>THAP9</v>
      </c>
      <c r="B16346" t="s">
        <v>8</v>
      </c>
    </row>
    <row r="16347" spans="1:2" x14ac:dyDescent="0.2">
      <c r="A16347" t="str">
        <f>"THBD"</f>
        <v>THBD</v>
      </c>
      <c r="B16347" t="s">
        <v>3</v>
      </c>
    </row>
    <row r="16348" spans="1:2" x14ac:dyDescent="0.2">
      <c r="A16348" t="str">
        <f>"THBS1"</f>
        <v>THBS1</v>
      </c>
      <c r="B16348" t="s">
        <v>3</v>
      </c>
    </row>
    <row r="16349" spans="1:2" x14ac:dyDescent="0.2">
      <c r="A16349" t="str">
        <f>"THBS2"</f>
        <v>THBS2</v>
      </c>
      <c r="B16349" t="s">
        <v>3</v>
      </c>
    </row>
    <row r="16350" spans="1:2" x14ac:dyDescent="0.2">
      <c r="A16350" t="str">
        <f>"THBS3"</f>
        <v>THBS3</v>
      </c>
      <c r="B16350" t="s">
        <v>3</v>
      </c>
    </row>
    <row r="16351" spans="1:2" x14ac:dyDescent="0.2">
      <c r="A16351" t="str">
        <f>"THBS4"</f>
        <v>THBS4</v>
      </c>
      <c r="B16351" t="s">
        <v>6</v>
      </c>
    </row>
    <row r="16352" spans="1:2" x14ac:dyDescent="0.2">
      <c r="A16352" t="str">
        <f>"THEG"</f>
        <v>THEG</v>
      </c>
      <c r="B16352" t="s">
        <v>4</v>
      </c>
    </row>
    <row r="16353" spans="1:2" x14ac:dyDescent="0.2">
      <c r="A16353" t="str">
        <f>"THEG5"</f>
        <v>THEG5</v>
      </c>
      <c r="B16353" t="s">
        <v>4</v>
      </c>
    </row>
    <row r="16354" spans="1:2" x14ac:dyDescent="0.2">
      <c r="A16354" t="str">
        <f>"THEGL"</f>
        <v>THEGL</v>
      </c>
      <c r="B16354" t="s">
        <v>4</v>
      </c>
    </row>
    <row r="16355" spans="1:2" x14ac:dyDescent="0.2">
      <c r="A16355" t="str">
        <f>"THEM4"</f>
        <v>THEM4</v>
      </c>
      <c r="B16355" t="s">
        <v>6</v>
      </c>
    </row>
    <row r="16356" spans="1:2" x14ac:dyDescent="0.2">
      <c r="A16356" t="str">
        <f>"THEM5"</f>
        <v>THEM5</v>
      </c>
      <c r="B16356" t="s">
        <v>6</v>
      </c>
    </row>
    <row r="16357" spans="1:2" x14ac:dyDescent="0.2">
      <c r="A16357" t="str">
        <f>"THEM6"</f>
        <v>THEM6</v>
      </c>
      <c r="B16357" t="s">
        <v>4</v>
      </c>
    </row>
    <row r="16358" spans="1:2" x14ac:dyDescent="0.2">
      <c r="A16358" t="str">
        <f>"THEMIS"</f>
        <v>THEMIS</v>
      </c>
      <c r="B16358" t="s">
        <v>4</v>
      </c>
    </row>
    <row r="16359" spans="1:2" x14ac:dyDescent="0.2">
      <c r="A16359" t="str">
        <f>"THEMIS2"</f>
        <v>THEMIS2</v>
      </c>
      <c r="B16359" t="s">
        <v>3</v>
      </c>
    </row>
    <row r="16360" spans="1:2" x14ac:dyDescent="0.2">
      <c r="A16360" t="str">
        <f>"THG1L"</f>
        <v>THG1L</v>
      </c>
      <c r="B16360" t="s">
        <v>6</v>
      </c>
    </row>
    <row r="16361" spans="1:2" x14ac:dyDescent="0.2">
      <c r="A16361" t="str">
        <f>"THNSL1"</f>
        <v>THNSL1</v>
      </c>
      <c r="B16361" t="s">
        <v>7</v>
      </c>
    </row>
    <row r="16362" spans="1:2" x14ac:dyDescent="0.2">
      <c r="A16362" t="str">
        <f>"THNSL2"</f>
        <v>THNSL2</v>
      </c>
      <c r="B16362" t="s">
        <v>6</v>
      </c>
    </row>
    <row r="16363" spans="1:2" x14ac:dyDescent="0.2">
      <c r="A16363" t="str">
        <f>"THOC1"</f>
        <v>THOC1</v>
      </c>
      <c r="B16363" t="s">
        <v>2</v>
      </c>
    </row>
    <row r="16364" spans="1:2" x14ac:dyDescent="0.2">
      <c r="A16364" t="str">
        <f>"THOC2"</f>
        <v>THOC2</v>
      </c>
      <c r="B16364" t="s">
        <v>8</v>
      </c>
    </row>
    <row r="16365" spans="1:2" x14ac:dyDescent="0.2">
      <c r="A16365" t="str">
        <f>"THOC3"</f>
        <v>THOC3</v>
      </c>
      <c r="B16365" t="s">
        <v>8</v>
      </c>
    </row>
    <row r="16366" spans="1:2" x14ac:dyDescent="0.2">
      <c r="A16366" t="str">
        <f>"THOC5"</f>
        <v>THOC5</v>
      </c>
      <c r="B16366" t="s">
        <v>3</v>
      </c>
    </row>
    <row r="16367" spans="1:2" x14ac:dyDescent="0.2">
      <c r="A16367" t="str">
        <f>"THOC6"</f>
        <v>THOC6</v>
      </c>
      <c r="B16367" t="s">
        <v>4</v>
      </c>
    </row>
    <row r="16368" spans="1:2" x14ac:dyDescent="0.2">
      <c r="A16368" t="str">
        <f>"THOC7"</f>
        <v>THOC7</v>
      </c>
      <c r="B16368" t="s">
        <v>4</v>
      </c>
    </row>
    <row r="16369" spans="1:2" x14ac:dyDescent="0.2">
      <c r="A16369" t="str">
        <f>"THOP1"</f>
        <v>THOP1</v>
      </c>
      <c r="B16369" t="s">
        <v>2</v>
      </c>
    </row>
    <row r="16370" spans="1:2" x14ac:dyDescent="0.2">
      <c r="A16370" t="str">
        <f>"THPO"</f>
        <v>THPO</v>
      </c>
      <c r="B16370" t="s">
        <v>3</v>
      </c>
    </row>
    <row r="16371" spans="1:2" x14ac:dyDescent="0.2">
      <c r="A16371" t="str">
        <f>"THRA"</f>
        <v>THRA</v>
      </c>
      <c r="B16371" t="s">
        <v>7</v>
      </c>
    </row>
    <row r="16372" spans="1:2" x14ac:dyDescent="0.2">
      <c r="A16372" t="str">
        <f>"THRAP3"</f>
        <v>THRAP3</v>
      </c>
      <c r="B16372" t="s">
        <v>3</v>
      </c>
    </row>
    <row r="16373" spans="1:2" x14ac:dyDescent="0.2">
      <c r="A16373" t="str">
        <f>"THRB"</f>
        <v>THRB</v>
      </c>
      <c r="B16373" t="s">
        <v>3</v>
      </c>
    </row>
    <row r="16374" spans="1:2" x14ac:dyDescent="0.2">
      <c r="A16374" t="str">
        <f>"THRSP"</f>
        <v>THRSP</v>
      </c>
      <c r="B16374" t="s">
        <v>6</v>
      </c>
    </row>
    <row r="16375" spans="1:2" x14ac:dyDescent="0.2">
      <c r="A16375" t="str">
        <f>"THSD1"</f>
        <v>THSD1</v>
      </c>
      <c r="B16375" t="s">
        <v>5</v>
      </c>
    </row>
    <row r="16376" spans="1:2" x14ac:dyDescent="0.2">
      <c r="A16376" t="str">
        <f>"THSD4"</f>
        <v>THSD4</v>
      </c>
      <c r="B16376" t="s">
        <v>5</v>
      </c>
    </row>
    <row r="16377" spans="1:2" x14ac:dyDescent="0.2">
      <c r="A16377" t="str">
        <f>"THSD7A"</f>
        <v>THSD7A</v>
      </c>
      <c r="B16377" t="s">
        <v>5</v>
      </c>
    </row>
    <row r="16378" spans="1:2" x14ac:dyDescent="0.2">
      <c r="A16378" t="str">
        <f>"THSD7B"</f>
        <v>THSD7B</v>
      </c>
      <c r="B16378" t="s">
        <v>5</v>
      </c>
    </row>
    <row r="16379" spans="1:2" x14ac:dyDescent="0.2">
      <c r="A16379" t="str">
        <f>"THTPA"</f>
        <v>THTPA</v>
      </c>
      <c r="B16379" t="s">
        <v>3</v>
      </c>
    </row>
    <row r="16380" spans="1:2" x14ac:dyDescent="0.2">
      <c r="A16380" t="str">
        <f>"THUMPD1"</f>
        <v>THUMPD1</v>
      </c>
      <c r="B16380" t="s">
        <v>8</v>
      </c>
    </row>
    <row r="16381" spans="1:2" x14ac:dyDescent="0.2">
      <c r="A16381" t="str">
        <f>"THUMPD2"</f>
        <v>THUMPD2</v>
      </c>
      <c r="B16381" t="s">
        <v>4</v>
      </c>
    </row>
    <row r="16382" spans="1:2" x14ac:dyDescent="0.2">
      <c r="A16382" t="str">
        <f>"THUMPD3"</f>
        <v>THUMPD3</v>
      </c>
      <c r="B16382" t="s">
        <v>8</v>
      </c>
    </row>
    <row r="16383" spans="1:2" x14ac:dyDescent="0.2">
      <c r="A16383" t="str">
        <f>"THY1"</f>
        <v>THY1</v>
      </c>
      <c r="B16383" t="s">
        <v>6</v>
      </c>
    </row>
    <row r="16384" spans="1:2" x14ac:dyDescent="0.2">
      <c r="A16384" t="str">
        <f>"THYN1"</f>
        <v>THYN1</v>
      </c>
      <c r="B16384" t="s">
        <v>4</v>
      </c>
    </row>
    <row r="16385" spans="1:2" x14ac:dyDescent="0.2">
      <c r="A16385" t="str">
        <f>"TIA1"</f>
        <v>TIA1</v>
      </c>
      <c r="B16385" t="s">
        <v>3</v>
      </c>
    </row>
    <row r="16386" spans="1:2" x14ac:dyDescent="0.2">
      <c r="A16386" t="str">
        <f>"TIAF1"</f>
        <v>TIAF1</v>
      </c>
      <c r="B16386" t="s">
        <v>3</v>
      </c>
    </row>
    <row r="16387" spans="1:2" x14ac:dyDescent="0.2">
      <c r="A16387" t="str">
        <f>"TIAL1"</f>
        <v>TIAL1</v>
      </c>
      <c r="B16387" t="s">
        <v>2</v>
      </c>
    </row>
    <row r="16388" spans="1:2" x14ac:dyDescent="0.2">
      <c r="A16388" t="str">
        <f>"TIAM1"</f>
        <v>TIAM1</v>
      </c>
      <c r="B16388" t="s">
        <v>3</v>
      </c>
    </row>
    <row r="16389" spans="1:2" x14ac:dyDescent="0.2">
      <c r="A16389" t="str">
        <f>"TIAM2"</f>
        <v>TIAM2</v>
      </c>
      <c r="B16389" t="s">
        <v>6</v>
      </c>
    </row>
    <row r="16390" spans="1:2" x14ac:dyDescent="0.2">
      <c r="A16390" t="str">
        <f>"TICAM1"</f>
        <v>TICAM1</v>
      </c>
      <c r="B16390" t="s">
        <v>8</v>
      </c>
    </row>
    <row r="16391" spans="1:2" x14ac:dyDescent="0.2">
      <c r="A16391" t="str">
        <f>"TICAM2"</f>
        <v>TICAM2</v>
      </c>
      <c r="B16391" t="s">
        <v>4</v>
      </c>
    </row>
    <row r="16392" spans="1:2" x14ac:dyDescent="0.2">
      <c r="A16392" t="str">
        <f>"TICRR"</f>
        <v>TICRR</v>
      </c>
      <c r="B16392" t="s">
        <v>4</v>
      </c>
    </row>
    <row r="16393" spans="1:2" x14ac:dyDescent="0.2">
      <c r="A16393" t="str">
        <f>"TIE1"</f>
        <v>TIE1</v>
      </c>
      <c r="B16393" t="s">
        <v>7</v>
      </c>
    </row>
    <row r="16394" spans="1:2" x14ac:dyDescent="0.2">
      <c r="A16394" t="str">
        <f>"TIFA"</f>
        <v>TIFA</v>
      </c>
      <c r="B16394" t="s">
        <v>4</v>
      </c>
    </row>
    <row r="16395" spans="1:2" x14ac:dyDescent="0.2">
      <c r="A16395" t="str">
        <f>"TIFAB"</f>
        <v>TIFAB</v>
      </c>
      <c r="B16395" t="s">
        <v>4</v>
      </c>
    </row>
    <row r="16396" spans="1:2" x14ac:dyDescent="0.2">
      <c r="A16396" t="str">
        <f>"TIGD1"</f>
        <v>TIGD1</v>
      </c>
      <c r="B16396" t="s">
        <v>8</v>
      </c>
    </row>
    <row r="16397" spans="1:2" x14ac:dyDescent="0.2">
      <c r="A16397" t="str">
        <f>"TIGD2"</f>
        <v>TIGD2</v>
      </c>
      <c r="B16397" t="s">
        <v>8</v>
      </c>
    </row>
    <row r="16398" spans="1:2" x14ac:dyDescent="0.2">
      <c r="A16398" t="str">
        <f>"TIGD3"</f>
        <v>TIGD3</v>
      </c>
      <c r="B16398" t="s">
        <v>8</v>
      </c>
    </row>
    <row r="16399" spans="1:2" x14ac:dyDescent="0.2">
      <c r="A16399" t="str">
        <f>"TIGD4"</f>
        <v>TIGD4</v>
      </c>
      <c r="B16399" t="s">
        <v>8</v>
      </c>
    </row>
    <row r="16400" spans="1:2" x14ac:dyDescent="0.2">
      <c r="A16400" t="str">
        <f>"TIGD5"</f>
        <v>TIGD5</v>
      </c>
      <c r="B16400" t="s">
        <v>8</v>
      </c>
    </row>
    <row r="16401" spans="1:2" x14ac:dyDescent="0.2">
      <c r="A16401" t="str">
        <f>"TIGD6"</f>
        <v>TIGD6</v>
      </c>
      <c r="B16401" t="s">
        <v>8</v>
      </c>
    </row>
    <row r="16402" spans="1:2" x14ac:dyDescent="0.2">
      <c r="A16402" t="str">
        <f>"TIGD7"</f>
        <v>TIGD7</v>
      </c>
      <c r="B16402" t="s">
        <v>8</v>
      </c>
    </row>
    <row r="16403" spans="1:2" x14ac:dyDescent="0.2">
      <c r="A16403" t="str">
        <f>"TIGIT"</f>
        <v>TIGIT</v>
      </c>
      <c r="B16403" t="s">
        <v>5</v>
      </c>
    </row>
    <row r="16404" spans="1:2" x14ac:dyDescent="0.2">
      <c r="A16404" t="str">
        <f>"TIMD4"</f>
        <v>TIMD4</v>
      </c>
      <c r="B16404" t="s">
        <v>5</v>
      </c>
    </row>
    <row r="16405" spans="1:2" x14ac:dyDescent="0.2">
      <c r="A16405" t="str">
        <f>"TIMELESS"</f>
        <v>TIMELESS</v>
      </c>
      <c r="B16405" t="s">
        <v>3</v>
      </c>
    </row>
    <row r="16406" spans="1:2" x14ac:dyDescent="0.2">
      <c r="A16406" t="str">
        <f>"TIMM10"</f>
        <v>TIMM10</v>
      </c>
      <c r="B16406" t="s">
        <v>2</v>
      </c>
    </row>
    <row r="16407" spans="1:2" x14ac:dyDescent="0.2">
      <c r="A16407" t="str">
        <f>"TIMM10B"</f>
        <v>TIMM10B</v>
      </c>
      <c r="B16407" t="s">
        <v>2</v>
      </c>
    </row>
    <row r="16408" spans="1:2" x14ac:dyDescent="0.2">
      <c r="A16408" t="str">
        <f>"TIMM13"</f>
        <v>TIMM13</v>
      </c>
      <c r="B16408" t="s">
        <v>2</v>
      </c>
    </row>
    <row r="16409" spans="1:2" x14ac:dyDescent="0.2">
      <c r="A16409" t="str">
        <f>"TIMM17A"</f>
        <v>TIMM17A</v>
      </c>
      <c r="B16409" t="s">
        <v>6</v>
      </c>
    </row>
    <row r="16410" spans="1:2" x14ac:dyDescent="0.2">
      <c r="A16410" t="str">
        <f>"TIMM17B"</f>
        <v>TIMM17B</v>
      </c>
      <c r="B16410" t="s">
        <v>6</v>
      </c>
    </row>
    <row r="16411" spans="1:2" x14ac:dyDescent="0.2">
      <c r="A16411" t="str">
        <f>"TIMM21"</f>
        <v>TIMM21</v>
      </c>
      <c r="B16411" t="s">
        <v>6</v>
      </c>
    </row>
    <row r="16412" spans="1:2" x14ac:dyDescent="0.2">
      <c r="A16412" t="str">
        <f>"TIMM22"</f>
        <v>TIMM22</v>
      </c>
      <c r="B16412" t="s">
        <v>6</v>
      </c>
    </row>
    <row r="16413" spans="1:2" x14ac:dyDescent="0.2">
      <c r="A16413" t="str">
        <f>"TIMM23"</f>
        <v>TIMM23</v>
      </c>
      <c r="B16413" t="s">
        <v>6</v>
      </c>
    </row>
    <row r="16414" spans="1:2" x14ac:dyDescent="0.2">
      <c r="A16414" t="str">
        <f>"TIMM23B"</f>
        <v>TIMM23B</v>
      </c>
      <c r="B16414" t="s">
        <v>3</v>
      </c>
    </row>
    <row r="16415" spans="1:2" x14ac:dyDescent="0.2">
      <c r="A16415" t="str">
        <f>"TIMM44"</f>
        <v>TIMM44</v>
      </c>
      <c r="B16415" t="s">
        <v>6</v>
      </c>
    </row>
    <row r="16416" spans="1:2" x14ac:dyDescent="0.2">
      <c r="A16416" t="str">
        <f>"TIMM50"</f>
        <v>TIMM50</v>
      </c>
      <c r="B16416" t="s">
        <v>6</v>
      </c>
    </row>
    <row r="16417" spans="1:2" x14ac:dyDescent="0.2">
      <c r="A16417" t="str">
        <f>"TIMM8A"</f>
        <v>TIMM8A</v>
      </c>
      <c r="B16417" t="s">
        <v>2</v>
      </c>
    </row>
    <row r="16418" spans="1:2" x14ac:dyDescent="0.2">
      <c r="A16418" t="str">
        <f>"TIMM8B"</f>
        <v>TIMM8B</v>
      </c>
      <c r="B16418" t="s">
        <v>2</v>
      </c>
    </row>
    <row r="16419" spans="1:2" x14ac:dyDescent="0.2">
      <c r="A16419" t="str">
        <f>"TIMM9"</f>
        <v>TIMM9</v>
      </c>
      <c r="B16419" t="s">
        <v>2</v>
      </c>
    </row>
    <row r="16420" spans="1:2" x14ac:dyDescent="0.2">
      <c r="A16420" t="str">
        <f>"TIMMDC1"</f>
        <v>TIMMDC1</v>
      </c>
      <c r="B16420" t="s">
        <v>6</v>
      </c>
    </row>
    <row r="16421" spans="1:2" x14ac:dyDescent="0.2">
      <c r="A16421" t="str">
        <f>"TIMP1"</f>
        <v>TIMP1</v>
      </c>
      <c r="B16421" t="s">
        <v>3</v>
      </c>
    </row>
    <row r="16422" spans="1:2" x14ac:dyDescent="0.2">
      <c r="A16422" t="str">
        <f>"TIMP2"</f>
        <v>TIMP2</v>
      </c>
      <c r="B16422" t="s">
        <v>3</v>
      </c>
    </row>
    <row r="16423" spans="1:2" x14ac:dyDescent="0.2">
      <c r="A16423" t="str">
        <f>"TIMP3"</f>
        <v>TIMP3</v>
      </c>
      <c r="B16423" t="s">
        <v>3</v>
      </c>
    </row>
    <row r="16424" spans="1:2" x14ac:dyDescent="0.2">
      <c r="A16424" t="str">
        <f>"TIMP4"</f>
        <v>TIMP4</v>
      </c>
      <c r="B16424" t="s">
        <v>4</v>
      </c>
    </row>
    <row r="16425" spans="1:2" x14ac:dyDescent="0.2">
      <c r="A16425" t="str">
        <f>"TINAG"</f>
        <v>TINAG</v>
      </c>
      <c r="B16425" t="s">
        <v>2</v>
      </c>
    </row>
    <row r="16426" spans="1:2" x14ac:dyDescent="0.2">
      <c r="A16426" t="str">
        <f>"TINAGL1"</f>
        <v>TINAGL1</v>
      </c>
      <c r="B16426" t="s">
        <v>2</v>
      </c>
    </row>
    <row r="16427" spans="1:2" x14ac:dyDescent="0.2">
      <c r="A16427" t="str">
        <f>"TINF2"</f>
        <v>TINF2</v>
      </c>
      <c r="B16427" t="s">
        <v>8</v>
      </c>
    </row>
    <row r="16428" spans="1:2" x14ac:dyDescent="0.2">
      <c r="A16428" t="str">
        <f>"TIPARP"</f>
        <v>TIPARP</v>
      </c>
      <c r="B16428" t="s">
        <v>8</v>
      </c>
    </row>
    <row r="16429" spans="1:2" x14ac:dyDescent="0.2">
      <c r="A16429" t="str">
        <f>"TIPIN"</f>
        <v>TIPIN</v>
      </c>
      <c r="B16429" t="s">
        <v>3</v>
      </c>
    </row>
    <row r="16430" spans="1:2" x14ac:dyDescent="0.2">
      <c r="A16430" t="str">
        <f>"TIPRL"</f>
        <v>TIPRL</v>
      </c>
      <c r="B16430" t="s">
        <v>4</v>
      </c>
    </row>
    <row r="16431" spans="1:2" x14ac:dyDescent="0.2">
      <c r="A16431" t="str">
        <f>"TIRAP"</f>
        <v>TIRAP</v>
      </c>
      <c r="B16431" t="s">
        <v>4</v>
      </c>
    </row>
    <row r="16432" spans="1:2" x14ac:dyDescent="0.2">
      <c r="A16432" t="str">
        <f>"TJAP1"</f>
        <v>TJAP1</v>
      </c>
      <c r="B16432" t="s">
        <v>4</v>
      </c>
    </row>
    <row r="16433" spans="1:2" x14ac:dyDescent="0.2">
      <c r="A16433" t="str">
        <f>"TJP1"</f>
        <v>TJP1</v>
      </c>
      <c r="B16433" t="s">
        <v>4</v>
      </c>
    </row>
    <row r="16434" spans="1:2" x14ac:dyDescent="0.2">
      <c r="A16434" t="str">
        <f>"TJP2"</f>
        <v>TJP2</v>
      </c>
      <c r="B16434" t="s">
        <v>6</v>
      </c>
    </row>
    <row r="16435" spans="1:2" x14ac:dyDescent="0.2">
      <c r="A16435" t="str">
        <f>"TJP3"</f>
        <v>TJP3</v>
      </c>
      <c r="B16435" t="s">
        <v>4</v>
      </c>
    </row>
    <row r="16436" spans="1:2" x14ac:dyDescent="0.2">
      <c r="A16436" t="str">
        <f>"TK1"</f>
        <v>TK1</v>
      </c>
      <c r="B16436" t="s">
        <v>7</v>
      </c>
    </row>
    <row r="16437" spans="1:2" x14ac:dyDescent="0.2">
      <c r="A16437" t="str">
        <f>"TK2"</f>
        <v>TK2</v>
      </c>
      <c r="B16437" t="s">
        <v>7</v>
      </c>
    </row>
    <row r="16438" spans="1:2" x14ac:dyDescent="0.2">
      <c r="A16438" t="str">
        <f>"TKT"</f>
        <v>TKT</v>
      </c>
      <c r="B16438" t="s">
        <v>6</v>
      </c>
    </row>
    <row r="16439" spans="1:2" x14ac:dyDescent="0.2">
      <c r="A16439" t="str">
        <f>"TKTL1"</f>
        <v>TKTL1</v>
      </c>
      <c r="B16439" t="s">
        <v>3</v>
      </c>
    </row>
    <row r="16440" spans="1:2" x14ac:dyDescent="0.2">
      <c r="A16440" t="str">
        <f>"TKTL2"</f>
        <v>TKTL2</v>
      </c>
      <c r="B16440" t="s">
        <v>3</v>
      </c>
    </row>
    <row r="16441" spans="1:2" x14ac:dyDescent="0.2">
      <c r="A16441" t="str">
        <f>"TLCD1"</f>
        <v>TLCD1</v>
      </c>
      <c r="B16441" t="s">
        <v>5</v>
      </c>
    </row>
    <row r="16442" spans="1:2" x14ac:dyDescent="0.2">
      <c r="A16442" t="str">
        <f>"TLCD2"</f>
        <v>TLCD2</v>
      </c>
      <c r="B16442" t="s">
        <v>5</v>
      </c>
    </row>
    <row r="16443" spans="1:2" x14ac:dyDescent="0.2">
      <c r="A16443" t="str">
        <f>"TLDC1"</f>
        <v>TLDC1</v>
      </c>
      <c r="B16443" t="s">
        <v>4</v>
      </c>
    </row>
    <row r="16444" spans="1:2" x14ac:dyDescent="0.2">
      <c r="A16444" t="str">
        <f>"TLDC2"</f>
        <v>TLDC2</v>
      </c>
      <c r="B16444" t="s">
        <v>6</v>
      </c>
    </row>
    <row r="16445" spans="1:2" x14ac:dyDescent="0.2">
      <c r="A16445" t="str">
        <f>"TLE1"</f>
        <v>TLE1</v>
      </c>
      <c r="B16445" t="s">
        <v>3</v>
      </c>
    </row>
    <row r="16446" spans="1:2" x14ac:dyDescent="0.2">
      <c r="A16446" t="str">
        <f>"TLE2"</f>
        <v>TLE2</v>
      </c>
      <c r="B16446" t="s">
        <v>8</v>
      </c>
    </row>
    <row r="16447" spans="1:2" x14ac:dyDescent="0.2">
      <c r="A16447" t="str">
        <f>"TLE3"</f>
        <v>TLE3</v>
      </c>
      <c r="B16447" t="s">
        <v>8</v>
      </c>
    </row>
    <row r="16448" spans="1:2" x14ac:dyDescent="0.2">
      <c r="A16448" t="str">
        <f>"TLE4"</f>
        <v>TLE4</v>
      </c>
      <c r="B16448" t="s">
        <v>6</v>
      </c>
    </row>
    <row r="16449" spans="1:2" x14ac:dyDescent="0.2">
      <c r="A16449" t="str">
        <f>"TLE6"</f>
        <v>TLE6</v>
      </c>
      <c r="B16449" t="s">
        <v>8</v>
      </c>
    </row>
    <row r="16450" spans="1:2" x14ac:dyDescent="0.2">
      <c r="A16450" t="str">
        <f>"TLK1"</f>
        <v>TLK1</v>
      </c>
      <c r="B16450" t="s">
        <v>7</v>
      </c>
    </row>
    <row r="16451" spans="1:2" x14ac:dyDescent="0.2">
      <c r="A16451" t="str">
        <f>"TLK2"</f>
        <v>TLK2</v>
      </c>
      <c r="B16451" t="s">
        <v>7</v>
      </c>
    </row>
    <row r="16452" spans="1:2" x14ac:dyDescent="0.2">
      <c r="A16452" t="str">
        <f>"TLL1"</f>
        <v>TLL1</v>
      </c>
      <c r="B16452" t="s">
        <v>2</v>
      </c>
    </row>
    <row r="16453" spans="1:2" x14ac:dyDescent="0.2">
      <c r="A16453" t="str">
        <f>"TLL2"</f>
        <v>TLL2</v>
      </c>
      <c r="B16453" t="s">
        <v>7</v>
      </c>
    </row>
    <row r="16454" spans="1:2" x14ac:dyDescent="0.2">
      <c r="A16454" t="str">
        <f>"TLN1"</f>
        <v>TLN1</v>
      </c>
      <c r="B16454" t="s">
        <v>3</v>
      </c>
    </row>
    <row r="16455" spans="1:2" x14ac:dyDescent="0.2">
      <c r="A16455" t="str">
        <f>"TLN2"</f>
        <v>TLN2</v>
      </c>
      <c r="B16455" t="s">
        <v>6</v>
      </c>
    </row>
    <row r="16456" spans="1:2" x14ac:dyDescent="0.2">
      <c r="A16456" t="str">
        <f>"TLR1"</f>
        <v>TLR1</v>
      </c>
      <c r="B16456" t="s">
        <v>6</v>
      </c>
    </row>
    <row r="16457" spans="1:2" x14ac:dyDescent="0.2">
      <c r="A16457" t="str">
        <f>"TLR10"</f>
        <v>TLR10</v>
      </c>
      <c r="B16457" t="s">
        <v>5</v>
      </c>
    </row>
    <row r="16458" spans="1:2" x14ac:dyDescent="0.2">
      <c r="A16458" t="str">
        <f>"TLR2"</f>
        <v>TLR2</v>
      </c>
      <c r="B16458" t="s">
        <v>7</v>
      </c>
    </row>
    <row r="16459" spans="1:2" x14ac:dyDescent="0.2">
      <c r="A16459" t="str">
        <f>"TLR3"</f>
        <v>TLR3</v>
      </c>
      <c r="B16459" t="s">
        <v>3</v>
      </c>
    </row>
    <row r="16460" spans="1:2" x14ac:dyDescent="0.2">
      <c r="A16460" t="str">
        <f>"TLR4"</f>
        <v>TLR4</v>
      </c>
      <c r="B16460" t="s">
        <v>3</v>
      </c>
    </row>
    <row r="16461" spans="1:2" x14ac:dyDescent="0.2">
      <c r="A16461" t="str">
        <f>"TLR5"</f>
        <v>TLR5</v>
      </c>
      <c r="B16461" t="s">
        <v>5</v>
      </c>
    </row>
    <row r="16462" spans="1:2" x14ac:dyDescent="0.2">
      <c r="A16462" t="str">
        <f>"TLR6"</f>
        <v>TLR6</v>
      </c>
      <c r="B16462" t="s">
        <v>2</v>
      </c>
    </row>
    <row r="16463" spans="1:2" x14ac:dyDescent="0.2">
      <c r="A16463" t="str">
        <f>"TLR7"</f>
        <v>TLR7</v>
      </c>
      <c r="B16463" t="s">
        <v>7</v>
      </c>
    </row>
    <row r="16464" spans="1:2" x14ac:dyDescent="0.2">
      <c r="A16464" t="str">
        <f>"TLR8"</f>
        <v>TLR8</v>
      </c>
      <c r="B16464" t="s">
        <v>7</v>
      </c>
    </row>
    <row r="16465" spans="1:2" x14ac:dyDescent="0.2">
      <c r="A16465" t="str">
        <f>"TLR9"</f>
        <v>TLR9</v>
      </c>
      <c r="B16465" t="s">
        <v>3</v>
      </c>
    </row>
    <row r="16466" spans="1:2" x14ac:dyDescent="0.2">
      <c r="A16466" t="str">
        <f>"TLX1"</f>
        <v>TLX1</v>
      </c>
      <c r="B16466" t="s">
        <v>3</v>
      </c>
    </row>
    <row r="16467" spans="1:2" x14ac:dyDescent="0.2">
      <c r="A16467" t="str">
        <f>"TLX1NB"</f>
        <v>TLX1NB</v>
      </c>
      <c r="B16467" t="s">
        <v>4</v>
      </c>
    </row>
    <row r="16468" spans="1:2" x14ac:dyDescent="0.2">
      <c r="A16468" t="str">
        <f>"TLX2"</f>
        <v>TLX2</v>
      </c>
      <c r="B16468" t="s">
        <v>8</v>
      </c>
    </row>
    <row r="16469" spans="1:2" x14ac:dyDescent="0.2">
      <c r="A16469" t="str">
        <f>"TLX3"</f>
        <v>TLX3</v>
      </c>
      <c r="B16469" t="s">
        <v>3</v>
      </c>
    </row>
    <row r="16470" spans="1:2" x14ac:dyDescent="0.2">
      <c r="A16470" t="str">
        <f>"TM2D1"</f>
        <v>TM2D1</v>
      </c>
      <c r="B16470" t="s">
        <v>5</v>
      </c>
    </row>
    <row r="16471" spans="1:2" x14ac:dyDescent="0.2">
      <c r="A16471" t="str">
        <f>"TM2D2"</f>
        <v>TM2D2</v>
      </c>
      <c r="B16471" t="s">
        <v>6</v>
      </c>
    </row>
    <row r="16472" spans="1:2" x14ac:dyDescent="0.2">
      <c r="A16472" t="str">
        <f>"TM2D3"</f>
        <v>TM2D3</v>
      </c>
      <c r="B16472" t="s">
        <v>5</v>
      </c>
    </row>
    <row r="16473" spans="1:2" x14ac:dyDescent="0.2">
      <c r="A16473" t="str">
        <f>"TM4SF1"</f>
        <v>TM4SF1</v>
      </c>
      <c r="B16473" t="s">
        <v>6</v>
      </c>
    </row>
    <row r="16474" spans="1:2" x14ac:dyDescent="0.2">
      <c r="A16474" t="str">
        <f>"TM4SF18"</f>
        <v>TM4SF18</v>
      </c>
      <c r="B16474" t="s">
        <v>5</v>
      </c>
    </row>
    <row r="16475" spans="1:2" x14ac:dyDescent="0.2">
      <c r="A16475" t="str">
        <f>"TM4SF19"</f>
        <v>TM4SF19</v>
      </c>
      <c r="B16475" t="s">
        <v>5</v>
      </c>
    </row>
    <row r="16476" spans="1:2" x14ac:dyDescent="0.2">
      <c r="A16476" t="str">
        <f>"TM4SF20"</f>
        <v>TM4SF20</v>
      </c>
      <c r="B16476" t="s">
        <v>5</v>
      </c>
    </row>
    <row r="16477" spans="1:2" x14ac:dyDescent="0.2">
      <c r="A16477" t="str">
        <f>"TM4SF4"</f>
        <v>TM4SF4</v>
      </c>
      <c r="B16477" t="s">
        <v>5</v>
      </c>
    </row>
    <row r="16478" spans="1:2" x14ac:dyDescent="0.2">
      <c r="A16478" t="str">
        <f>"TM4SF5"</f>
        <v>TM4SF5</v>
      </c>
      <c r="B16478" t="s">
        <v>5</v>
      </c>
    </row>
    <row r="16479" spans="1:2" x14ac:dyDescent="0.2">
      <c r="A16479" t="str">
        <f>"TM6SF1"</f>
        <v>TM6SF1</v>
      </c>
      <c r="B16479" t="s">
        <v>5</v>
      </c>
    </row>
    <row r="16480" spans="1:2" x14ac:dyDescent="0.2">
      <c r="A16480" t="str">
        <f>"TM6SF2"</f>
        <v>TM6SF2</v>
      </c>
      <c r="B16480" t="s">
        <v>3</v>
      </c>
    </row>
    <row r="16481" spans="1:2" x14ac:dyDescent="0.2">
      <c r="A16481" t="str">
        <f>"TM7SF2"</f>
        <v>TM7SF2</v>
      </c>
      <c r="B16481" t="s">
        <v>6</v>
      </c>
    </row>
    <row r="16482" spans="1:2" x14ac:dyDescent="0.2">
      <c r="A16482" t="str">
        <f>"TM7SF3"</f>
        <v>TM7SF3</v>
      </c>
      <c r="B16482" t="s">
        <v>5</v>
      </c>
    </row>
    <row r="16483" spans="1:2" x14ac:dyDescent="0.2">
      <c r="A16483" t="str">
        <f>"TM9SF1"</f>
        <v>TM9SF1</v>
      </c>
      <c r="B16483" t="s">
        <v>2</v>
      </c>
    </row>
    <row r="16484" spans="1:2" x14ac:dyDescent="0.2">
      <c r="A16484" t="str">
        <f>"TM9SF2"</f>
        <v>TM9SF2</v>
      </c>
      <c r="B16484" t="s">
        <v>2</v>
      </c>
    </row>
    <row r="16485" spans="1:2" x14ac:dyDescent="0.2">
      <c r="A16485" t="str">
        <f>"TM9SF3"</f>
        <v>TM9SF3</v>
      </c>
      <c r="B16485" t="s">
        <v>6</v>
      </c>
    </row>
    <row r="16486" spans="1:2" x14ac:dyDescent="0.2">
      <c r="A16486" t="str">
        <f>"TM9SF4"</f>
        <v>TM9SF4</v>
      </c>
      <c r="B16486" t="s">
        <v>2</v>
      </c>
    </row>
    <row r="16487" spans="1:2" x14ac:dyDescent="0.2">
      <c r="A16487" t="str">
        <f>"TMA16"</f>
        <v>TMA16</v>
      </c>
      <c r="B16487" t="s">
        <v>4</v>
      </c>
    </row>
    <row r="16488" spans="1:2" x14ac:dyDescent="0.2">
      <c r="A16488" t="str">
        <f>"TMA7"</f>
        <v>TMA7</v>
      </c>
      <c r="B16488" t="s">
        <v>4</v>
      </c>
    </row>
    <row r="16489" spans="1:2" x14ac:dyDescent="0.2">
      <c r="A16489" t="str">
        <f>"TMBIM1"</f>
        <v>TMBIM1</v>
      </c>
      <c r="B16489" t="s">
        <v>5</v>
      </c>
    </row>
    <row r="16490" spans="1:2" x14ac:dyDescent="0.2">
      <c r="A16490" t="str">
        <f>"TMBIM4"</f>
        <v>TMBIM4</v>
      </c>
      <c r="B16490" t="s">
        <v>2</v>
      </c>
    </row>
    <row r="16491" spans="1:2" x14ac:dyDescent="0.2">
      <c r="A16491" t="str">
        <f>"TMBIM6"</f>
        <v>TMBIM6</v>
      </c>
      <c r="B16491" t="s">
        <v>6</v>
      </c>
    </row>
    <row r="16492" spans="1:2" x14ac:dyDescent="0.2">
      <c r="A16492" t="str">
        <f>"TMC1"</f>
        <v>TMC1</v>
      </c>
      <c r="B16492" t="s">
        <v>5</v>
      </c>
    </row>
    <row r="16493" spans="1:2" x14ac:dyDescent="0.2">
      <c r="A16493" t="str">
        <f>"TMC2"</f>
        <v>TMC2</v>
      </c>
      <c r="B16493" t="s">
        <v>5</v>
      </c>
    </row>
    <row r="16494" spans="1:2" x14ac:dyDescent="0.2">
      <c r="A16494" t="str">
        <f>"TMC3"</f>
        <v>TMC3</v>
      </c>
      <c r="B16494" t="s">
        <v>5</v>
      </c>
    </row>
    <row r="16495" spans="1:2" x14ac:dyDescent="0.2">
      <c r="A16495" t="str">
        <f>"TMC4"</f>
        <v>TMC4</v>
      </c>
      <c r="B16495" t="s">
        <v>5</v>
      </c>
    </row>
    <row r="16496" spans="1:2" x14ac:dyDescent="0.2">
      <c r="A16496" t="str">
        <f>"TMC5"</f>
        <v>TMC5</v>
      </c>
      <c r="B16496" t="s">
        <v>5</v>
      </c>
    </row>
    <row r="16497" spans="1:2" x14ac:dyDescent="0.2">
      <c r="A16497" t="str">
        <f>"TMC6"</f>
        <v>TMC6</v>
      </c>
      <c r="B16497" t="s">
        <v>2</v>
      </c>
    </row>
    <row r="16498" spans="1:2" x14ac:dyDescent="0.2">
      <c r="A16498" t="str">
        <f>"TMC7"</f>
        <v>TMC7</v>
      </c>
      <c r="B16498" t="s">
        <v>5</v>
      </c>
    </row>
    <row r="16499" spans="1:2" x14ac:dyDescent="0.2">
      <c r="A16499" t="str">
        <f>"TMC8"</f>
        <v>TMC8</v>
      </c>
      <c r="B16499" t="s">
        <v>2</v>
      </c>
    </row>
    <row r="16500" spans="1:2" x14ac:dyDescent="0.2">
      <c r="A16500" t="str">
        <f>"TMCC1"</f>
        <v>TMCC1</v>
      </c>
      <c r="B16500" t="s">
        <v>5</v>
      </c>
    </row>
    <row r="16501" spans="1:2" x14ac:dyDescent="0.2">
      <c r="A16501" t="str">
        <f>"TMCC2"</f>
        <v>TMCC2</v>
      </c>
      <c r="B16501" t="s">
        <v>5</v>
      </c>
    </row>
    <row r="16502" spans="1:2" x14ac:dyDescent="0.2">
      <c r="A16502" t="str">
        <f>"TMCC3"</f>
        <v>TMCC3</v>
      </c>
      <c r="B16502" t="s">
        <v>5</v>
      </c>
    </row>
    <row r="16503" spans="1:2" x14ac:dyDescent="0.2">
      <c r="A16503" t="str">
        <f>"TMCO1"</f>
        <v>TMCO1</v>
      </c>
      <c r="B16503" t="s">
        <v>6</v>
      </c>
    </row>
    <row r="16504" spans="1:2" x14ac:dyDescent="0.2">
      <c r="A16504" t="str">
        <f>"TMCO2"</f>
        <v>TMCO2</v>
      </c>
      <c r="B16504" t="s">
        <v>5</v>
      </c>
    </row>
    <row r="16505" spans="1:2" x14ac:dyDescent="0.2">
      <c r="A16505" t="str">
        <f>"TMCO3"</f>
        <v>TMCO3</v>
      </c>
      <c r="B16505" t="s">
        <v>5</v>
      </c>
    </row>
    <row r="16506" spans="1:2" x14ac:dyDescent="0.2">
      <c r="A16506" t="str">
        <f>"TMCO4"</f>
        <v>TMCO4</v>
      </c>
      <c r="B16506" t="s">
        <v>5</v>
      </c>
    </row>
    <row r="16507" spans="1:2" x14ac:dyDescent="0.2">
      <c r="A16507" t="str">
        <f>"TMCO5A"</f>
        <v>TMCO5A</v>
      </c>
      <c r="B16507" t="s">
        <v>5</v>
      </c>
    </row>
    <row r="16508" spans="1:2" x14ac:dyDescent="0.2">
      <c r="A16508" t="str">
        <f>"TMCO6"</f>
        <v>TMCO6</v>
      </c>
      <c r="B16508" t="s">
        <v>6</v>
      </c>
    </row>
    <row r="16509" spans="1:2" x14ac:dyDescent="0.2">
      <c r="A16509" t="str">
        <f>"TMED1"</f>
        <v>TMED1</v>
      </c>
      <c r="B16509" t="s">
        <v>6</v>
      </c>
    </row>
    <row r="16510" spans="1:2" x14ac:dyDescent="0.2">
      <c r="A16510" t="str">
        <f>"TMED10"</f>
        <v>TMED10</v>
      </c>
      <c r="B16510" t="s">
        <v>2</v>
      </c>
    </row>
    <row r="16511" spans="1:2" x14ac:dyDescent="0.2">
      <c r="A16511" t="str">
        <f>"TMED2"</f>
        <v>TMED2</v>
      </c>
      <c r="B16511" t="s">
        <v>6</v>
      </c>
    </row>
    <row r="16512" spans="1:2" x14ac:dyDescent="0.2">
      <c r="A16512" t="str">
        <f>"TMED3"</f>
        <v>TMED3</v>
      </c>
      <c r="B16512" t="s">
        <v>2</v>
      </c>
    </row>
    <row r="16513" spans="1:2" x14ac:dyDescent="0.2">
      <c r="A16513" t="str">
        <f>"TMED4"</f>
        <v>TMED4</v>
      </c>
      <c r="B16513" t="s">
        <v>6</v>
      </c>
    </row>
    <row r="16514" spans="1:2" x14ac:dyDescent="0.2">
      <c r="A16514" t="str">
        <f>"TMED5"</f>
        <v>TMED5</v>
      </c>
      <c r="B16514" t="s">
        <v>6</v>
      </c>
    </row>
    <row r="16515" spans="1:2" x14ac:dyDescent="0.2">
      <c r="A16515" t="str">
        <f>"TMED6"</f>
        <v>TMED6</v>
      </c>
      <c r="B16515" t="s">
        <v>2</v>
      </c>
    </row>
    <row r="16516" spans="1:2" x14ac:dyDescent="0.2">
      <c r="A16516" t="str">
        <f>"TMED7"</f>
        <v>TMED7</v>
      </c>
      <c r="B16516" t="s">
        <v>2</v>
      </c>
    </row>
    <row r="16517" spans="1:2" x14ac:dyDescent="0.2">
      <c r="A16517" t="str">
        <f>"TMED7-TICAM2"</f>
        <v>TMED7-TICAM2</v>
      </c>
      <c r="B16517" t="s">
        <v>4</v>
      </c>
    </row>
    <row r="16518" spans="1:2" x14ac:dyDescent="0.2">
      <c r="A16518" t="str">
        <f>"TMED8"</f>
        <v>TMED8</v>
      </c>
      <c r="B16518" t="s">
        <v>3</v>
      </c>
    </row>
    <row r="16519" spans="1:2" x14ac:dyDescent="0.2">
      <c r="A16519" t="str">
        <f>"TMED9"</f>
        <v>TMED9</v>
      </c>
      <c r="B16519" t="s">
        <v>6</v>
      </c>
    </row>
    <row r="16520" spans="1:2" x14ac:dyDescent="0.2">
      <c r="A16520" t="str">
        <f>"TMEFF1"</f>
        <v>TMEFF1</v>
      </c>
      <c r="B16520" t="s">
        <v>5</v>
      </c>
    </row>
    <row r="16521" spans="1:2" x14ac:dyDescent="0.2">
      <c r="A16521" t="str">
        <f>"TMEFF2"</f>
        <v>TMEFF2</v>
      </c>
      <c r="B16521" t="s">
        <v>3</v>
      </c>
    </row>
    <row r="16522" spans="1:2" x14ac:dyDescent="0.2">
      <c r="A16522" t="str">
        <f>"TMEM100"</f>
        <v>TMEM100</v>
      </c>
      <c r="B16522" t="s">
        <v>5</v>
      </c>
    </row>
    <row r="16523" spans="1:2" x14ac:dyDescent="0.2">
      <c r="A16523" t="str">
        <f>"TMEM101"</f>
        <v>TMEM101</v>
      </c>
      <c r="B16523" t="s">
        <v>5</v>
      </c>
    </row>
    <row r="16524" spans="1:2" x14ac:dyDescent="0.2">
      <c r="A16524" t="str">
        <f>"TMEM102"</f>
        <v>TMEM102</v>
      </c>
      <c r="B16524" t="s">
        <v>4</v>
      </c>
    </row>
    <row r="16525" spans="1:2" x14ac:dyDescent="0.2">
      <c r="A16525" t="str">
        <f>"TMEM104"</f>
        <v>TMEM104</v>
      </c>
      <c r="B16525" t="s">
        <v>5</v>
      </c>
    </row>
    <row r="16526" spans="1:2" x14ac:dyDescent="0.2">
      <c r="A16526" t="str">
        <f>"TMEM105"</f>
        <v>TMEM105</v>
      </c>
      <c r="B16526" t="s">
        <v>5</v>
      </c>
    </row>
    <row r="16527" spans="1:2" x14ac:dyDescent="0.2">
      <c r="A16527" t="str">
        <f>"TMEM106A"</f>
        <v>TMEM106A</v>
      </c>
      <c r="B16527" t="s">
        <v>5</v>
      </c>
    </row>
    <row r="16528" spans="1:2" x14ac:dyDescent="0.2">
      <c r="A16528" t="str">
        <f>"TMEM106B"</f>
        <v>TMEM106B</v>
      </c>
      <c r="B16528" t="s">
        <v>5</v>
      </c>
    </row>
    <row r="16529" spans="1:2" x14ac:dyDescent="0.2">
      <c r="A16529" t="str">
        <f>"TMEM106C"</f>
        <v>TMEM106C</v>
      </c>
      <c r="B16529" t="s">
        <v>6</v>
      </c>
    </row>
    <row r="16530" spans="1:2" x14ac:dyDescent="0.2">
      <c r="A16530" t="str">
        <f>"TMEM107"</f>
        <v>TMEM107</v>
      </c>
      <c r="B16530" t="s">
        <v>5</v>
      </c>
    </row>
    <row r="16531" spans="1:2" x14ac:dyDescent="0.2">
      <c r="A16531" t="str">
        <f>"TMEM108"</f>
        <v>TMEM108</v>
      </c>
      <c r="B16531" t="s">
        <v>5</v>
      </c>
    </row>
    <row r="16532" spans="1:2" x14ac:dyDescent="0.2">
      <c r="A16532" t="str">
        <f>"TMEM109"</f>
        <v>TMEM109</v>
      </c>
      <c r="B16532" t="s">
        <v>6</v>
      </c>
    </row>
    <row r="16533" spans="1:2" x14ac:dyDescent="0.2">
      <c r="A16533" t="str">
        <f>"TMEM11"</f>
        <v>TMEM11</v>
      </c>
      <c r="B16533" t="s">
        <v>6</v>
      </c>
    </row>
    <row r="16534" spans="1:2" x14ac:dyDescent="0.2">
      <c r="A16534" t="str">
        <f>"TMEM110"</f>
        <v>TMEM110</v>
      </c>
      <c r="B16534" t="s">
        <v>2</v>
      </c>
    </row>
    <row r="16535" spans="1:2" x14ac:dyDescent="0.2">
      <c r="A16535" t="str">
        <f>"TMEM110-MUSTN1"</f>
        <v>TMEM110-MUSTN1</v>
      </c>
      <c r="B16535" t="s">
        <v>4</v>
      </c>
    </row>
    <row r="16536" spans="1:2" x14ac:dyDescent="0.2">
      <c r="A16536" t="str">
        <f>"TMEM114"</f>
        <v>TMEM114</v>
      </c>
      <c r="B16536" t="s">
        <v>4</v>
      </c>
    </row>
    <row r="16537" spans="1:2" x14ac:dyDescent="0.2">
      <c r="A16537" t="str">
        <f>"TMEM115"</f>
        <v>TMEM115</v>
      </c>
      <c r="B16537" t="s">
        <v>2</v>
      </c>
    </row>
    <row r="16538" spans="1:2" x14ac:dyDescent="0.2">
      <c r="A16538" t="str">
        <f>"TMEM116"</f>
        <v>TMEM116</v>
      </c>
      <c r="B16538" t="s">
        <v>5</v>
      </c>
    </row>
    <row r="16539" spans="1:2" x14ac:dyDescent="0.2">
      <c r="A16539" t="str">
        <f>"TMEM117"</f>
        <v>TMEM117</v>
      </c>
      <c r="B16539" t="s">
        <v>6</v>
      </c>
    </row>
    <row r="16540" spans="1:2" x14ac:dyDescent="0.2">
      <c r="A16540" t="str">
        <f>"TMEM119"</f>
        <v>TMEM119</v>
      </c>
      <c r="B16540" t="s">
        <v>5</v>
      </c>
    </row>
    <row r="16541" spans="1:2" x14ac:dyDescent="0.2">
      <c r="A16541" t="str">
        <f>"TMEM120A"</f>
        <v>TMEM120A</v>
      </c>
      <c r="B16541" t="s">
        <v>6</v>
      </c>
    </row>
    <row r="16542" spans="1:2" x14ac:dyDescent="0.2">
      <c r="A16542" t="str">
        <f>"TMEM120B"</f>
        <v>TMEM120B</v>
      </c>
      <c r="B16542" t="s">
        <v>5</v>
      </c>
    </row>
    <row r="16543" spans="1:2" x14ac:dyDescent="0.2">
      <c r="A16543" t="str">
        <f>"TMEM121"</f>
        <v>TMEM121</v>
      </c>
      <c r="B16543" t="s">
        <v>5</v>
      </c>
    </row>
    <row r="16544" spans="1:2" x14ac:dyDescent="0.2">
      <c r="A16544" t="str">
        <f>"TMEM123"</f>
        <v>TMEM123</v>
      </c>
      <c r="B16544" t="s">
        <v>3</v>
      </c>
    </row>
    <row r="16545" spans="1:2" x14ac:dyDescent="0.2">
      <c r="A16545" t="str">
        <f>"TMEM125"</f>
        <v>TMEM125</v>
      </c>
      <c r="B16545" t="s">
        <v>5</v>
      </c>
    </row>
    <row r="16546" spans="1:2" x14ac:dyDescent="0.2">
      <c r="A16546" t="str">
        <f>"TMEM126A"</f>
        <v>TMEM126A</v>
      </c>
      <c r="B16546" t="s">
        <v>6</v>
      </c>
    </row>
    <row r="16547" spans="1:2" x14ac:dyDescent="0.2">
      <c r="A16547" t="str">
        <f>"TMEM126B"</f>
        <v>TMEM126B</v>
      </c>
      <c r="B16547" t="s">
        <v>5</v>
      </c>
    </row>
    <row r="16548" spans="1:2" x14ac:dyDescent="0.2">
      <c r="A16548" t="str">
        <f>"TMEM127"</f>
        <v>TMEM127</v>
      </c>
      <c r="B16548" t="s">
        <v>5</v>
      </c>
    </row>
    <row r="16549" spans="1:2" x14ac:dyDescent="0.2">
      <c r="A16549" t="str">
        <f>"TMEM128"</f>
        <v>TMEM128</v>
      </c>
      <c r="B16549" t="s">
        <v>5</v>
      </c>
    </row>
    <row r="16550" spans="1:2" x14ac:dyDescent="0.2">
      <c r="A16550" t="str">
        <f>"TMEM129"</f>
        <v>TMEM129</v>
      </c>
      <c r="B16550" t="s">
        <v>5</v>
      </c>
    </row>
    <row r="16551" spans="1:2" x14ac:dyDescent="0.2">
      <c r="A16551" t="str">
        <f>"TMEM130"</f>
        <v>TMEM130</v>
      </c>
      <c r="B16551" t="s">
        <v>5</v>
      </c>
    </row>
    <row r="16552" spans="1:2" x14ac:dyDescent="0.2">
      <c r="A16552" t="str">
        <f>"TMEM131"</f>
        <v>TMEM131</v>
      </c>
      <c r="B16552" t="s">
        <v>5</v>
      </c>
    </row>
    <row r="16553" spans="1:2" x14ac:dyDescent="0.2">
      <c r="A16553" t="str">
        <f>"TMEM132A"</f>
        <v>TMEM132A</v>
      </c>
      <c r="B16553" t="s">
        <v>6</v>
      </c>
    </row>
    <row r="16554" spans="1:2" x14ac:dyDescent="0.2">
      <c r="A16554" t="str">
        <f>"TMEM132B"</f>
        <v>TMEM132B</v>
      </c>
      <c r="B16554" t="s">
        <v>5</v>
      </c>
    </row>
    <row r="16555" spans="1:2" x14ac:dyDescent="0.2">
      <c r="A16555" t="str">
        <f>"TMEM132C"</f>
        <v>TMEM132C</v>
      </c>
      <c r="B16555" t="s">
        <v>4</v>
      </c>
    </row>
    <row r="16556" spans="1:2" x14ac:dyDescent="0.2">
      <c r="A16556" t="str">
        <f>"TMEM132D"</f>
        <v>TMEM132D</v>
      </c>
      <c r="B16556" t="s">
        <v>5</v>
      </c>
    </row>
    <row r="16557" spans="1:2" x14ac:dyDescent="0.2">
      <c r="A16557" t="str">
        <f>"TMEM132E"</f>
        <v>TMEM132E</v>
      </c>
      <c r="B16557" t="s">
        <v>5</v>
      </c>
    </row>
    <row r="16558" spans="1:2" x14ac:dyDescent="0.2">
      <c r="A16558" t="str">
        <f>"TMEM133"</f>
        <v>TMEM133</v>
      </c>
      <c r="B16558" t="s">
        <v>5</v>
      </c>
    </row>
    <row r="16559" spans="1:2" x14ac:dyDescent="0.2">
      <c r="A16559" t="str">
        <f>"TMEM134"</f>
        <v>TMEM134</v>
      </c>
      <c r="B16559" t="s">
        <v>5</v>
      </c>
    </row>
    <row r="16560" spans="1:2" x14ac:dyDescent="0.2">
      <c r="A16560" t="str">
        <f>"TMEM135"</f>
        <v>TMEM135</v>
      </c>
      <c r="B16560" t="s">
        <v>5</v>
      </c>
    </row>
    <row r="16561" spans="1:2" x14ac:dyDescent="0.2">
      <c r="A16561" t="str">
        <f>"TMEM136"</f>
        <v>TMEM136</v>
      </c>
      <c r="B16561" t="s">
        <v>5</v>
      </c>
    </row>
    <row r="16562" spans="1:2" x14ac:dyDescent="0.2">
      <c r="A16562" t="str">
        <f>"TMEM138"</f>
        <v>TMEM138</v>
      </c>
      <c r="B16562" t="s">
        <v>5</v>
      </c>
    </row>
    <row r="16563" spans="1:2" x14ac:dyDescent="0.2">
      <c r="A16563" t="str">
        <f>"TMEM139"</f>
        <v>TMEM139</v>
      </c>
      <c r="B16563" t="s">
        <v>5</v>
      </c>
    </row>
    <row r="16564" spans="1:2" x14ac:dyDescent="0.2">
      <c r="A16564" t="str">
        <f>"TMEM140"</f>
        <v>TMEM140</v>
      </c>
      <c r="B16564" t="s">
        <v>5</v>
      </c>
    </row>
    <row r="16565" spans="1:2" x14ac:dyDescent="0.2">
      <c r="A16565" t="str">
        <f>"TMEM141"</f>
        <v>TMEM141</v>
      </c>
      <c r="B16565" t="s">
        <v>6</v>
      </c>
    </row>
    <row r="16566" spans="1:2" x14ac:dyDescent="0.2">
      <c r="A16566" t="str">
        <f>"TMEM143"</f>
        <v>TMEM143</v>
      </c>
      <c r="B16566" t="s">
        <v>6</v>
      </c>
    </row>
    <row r="16567" spans="1:2" x14ac:dyDescent="0.2">
      <c r="A16567" t="str">
        <f>"TMEM144"</f>
        <v>TMEM144</v>
      </c>
      <c r="B16567" t="s">
        <v>5</v>
      </c>
    </row>
    <row r="16568" spans="1:2" x14ac:dyDescent="0.2">
      <c r="A16568" t="str">
        <f>"TMEM145"</f>
        <v>TMEM145</v>
      </c>
      <c r="B16568" t="s">
        <v>5</v>
      </c>
    </row>
    <row r="16569" spans="1:2" x14ac:dyDescent="0.2">
      <c r="A16569" t="str">
        <f>"TMEM147"</f>
        <v>TMEM147</v>
      </c>
      <c r="B16569" t="s">
        <v>2</v>
      </c>
    </row>
    <row r="16570" spans="1:2" x14ac:dyDescent="0.2">
      <c r="A16570" t="str">
        <f>"TMEM14A"</f>
        <v>TMEM14A</v>
      </c>
      <c r="B16570" t="s">
        <v>5</v>
      </c>
    </row>
    <row r="16571" spans="1:2" x14ac:dyDescent="0.2">
      <c r="A16571" t="str">
        <f>"TMEM14B"</f>
        <v>TMEM14B</v>
      </c>
      <c r="B16571" t="s">
        <v>5</v>
      </c>
    </row>
    <row r="16572" spans="1:2" x14ac:dyDescent="0.2">
      <c r="A16572" t="str">
        <f>"TMEM14C"</f>
        <v>TMEM14C</v>
      </c>
      <c r="B16572" t="s">
        <v>6</v>
      </c>
    </row>
    <row r="16573" spans="1:2" x14ac:dyDescent="0.2">
      <c r="A16573" t="str">
        <f>"TMEM14E"</f>
        <v>TMEM14E</v>
      </c>
      <c r="B16573" t="s">
        <v>5</v>
      </c>
    </row>
    <row r="16574" spans="1:2" x14ac:dyDescent="0.2">
      <c r="A16574" t="str">
        <f>"TMEM150A"</f>
        <v>TMEM150A</v>
      </c>
      <c r="B16574" t="s">
        <v>5</v>
      </c>
    </row>
    <row r="16575" spans="1:2" x14ac:dyDescent="0.2">
      <c r="A16575" t="str">
        <f>"TMEM150B"</f>
        <v>TMEM150B</v>
      </c>
      <c r="B16575" t="s">
        <v>4</v>
      </c>
    </row>
    <row r="16576" spans="1:2" x14ac:dyDescent="0.2">
      <c r="A16576" t="str">
        <f>"TMEM150C"</f>
        <v>TMEM150C</v>
      </c>
      <c r="B16576" t="s">
        <v>5</v>
      </c>
    </row>
    <row r="16577" spans="1:2" x14ac:dyDescent="0.2">
      <c r="A16577" t="str">
        <f>"TMEM151A"</f>
        <v>TMEM151A</v>
      </c>
      <c r="B16577" t="s">
        <v>5</v>
      </c>
    </row>
    <row r="16578" spans="1:2" x14ac:dyDescent="0.2">
      <c r="A16578" t="str">
        <f>"TMEM151B"</f>
        <v>TMEM151B</v>
      </c>
      <c r="B16578" t="s">
        <v>5</v>
      </c>
    </row>
    <row r="16579" spans="1:2" x14ac:dyDescent="0.2">
      <c r="A16579" t="str">
        <f>"TMEM154"</f>
        <v>TMEM154</v>
      </c>
      <c r="B16579" t="s">
        <v>5</v>
      </c>
    </row>
    <row r="16580" spans="1:2" x14ac:dyDescent="0.2">
      <c r="A16580" t="str">
        <f>"TMEM155"</f>
        <v>TMEM155</v>
      </c>
      <c r="B16580" t="s">
        <v>3</v>
      </c>
    </row>
    <row r="16581" spans="1:2" x14ac:dyDescent="0.2">
      <c r="A16581" t="str">
        <f>"TMEM156"</f>
        <v>TMEM156</v>
      </c>
      <c r="B16581" t="s">
        <v>5</v>
      </c>
    </row>
    <row r="16582" spans="1:2" x14ac:dyDescent="0.2">
      <c r="A16582" t="str">
        <f>"TMEM158"</f>
        <v>TMEM158</v>
      </c>
      <c r="B16582" t="s">
        <v>5</v>
      </c>
    </row>
    <row r="16583" spans="1:2" x14ac:dyDescent="0.2">
      <c r="A16583" t="str">
        <f>"TMEM159"</f>
        <v>TMEM159</v>
      </c>
      <c r="B16583" t="s">
        <v>5</v>
      </c>
    </row>
    <row r="16584" spans="1:2" x14ac:dyDescent="0.2">
      <c r="A16584" t="str">
        <f>"TMEM160"</f>
        <v>TMEM160</v>
      </c>
      <c r="B16584" t="s">
        <v>6</v>
      </c>
    </row>
    <row r="16585" spans="1:2" x14ac:dyDescent="0.2">
      <c r="A16585" t="str">
        <f>"TMEM161A"</f>
        <v>TMEM161A</v>
      </c>
      <c r="B16585" t="s">
        <v>6</v>
      </c>
    </row>
    <row r="16586" spans="1:2" x14ac:dyDescent="0.2">
      <c r="A16586" t="str">
        <f>"TMEM161B"</f>
        <v>TMEM161B</v>
      </c>
      <c r="B16586" t="s">
        <v>5</v>
      </c>
    </row>
    <row r="16587" spans="1:2" x14ac:dyDescent="0.2">
      <c r="A16587" t="str">
        <f>"TMEM163"</f>
        <v>TMEM163</v>
      </c>
      <c r="B16587" t="s">
        <v>5</v>
      </c>
    </row>
    <row r="16588" spans="1:2" x14ac:dyDescent="0.2">
      <c r="A16588" t="str">
        <f>"TMEM164"</f>
        <v>TMEM164</v>
      </c>
      <c r="B16588" t="s">
        <v>5</v>
      </c>
    </row>
    <row r="16589" spans="1:2" x14ac:dyDescent="0.2">
      <c r="A16589" t="str">
        <f>"TMEM165"</f>
        <v>TMEM165</v>
      </c>
      <c r="B16589" t="s">
        <v>2</v>
      </c>
    </row>
    <row r="16590" spans="1:2" x14ac:dyDescent="0.2">
      <c r="A16590" t="str">
        <f>"TMEM167A"</f>
        <v>TMEM167A</v>
      </c>
      <c r="B16590" t="s">
        <v>2</v>
      </c>
    </row>
    <row r="16591" spans="1:2" x14ac:dyDescent="0.2">
      <c r="A16591" t="str">
        <f>"TMEM167B"</f>
        <v>TMEM167B</v>
      </c>
      <c r="B16591" t="s">
        <v>6</v>
      </c>
    </row>
    <row r="16592" spans="1:2" x14ac:dyDescent="0.2">
      <c r="A16592" t="str">
        <f>"TMEM168"</f>
        <v>TMEM168</v>
      </c>
      <c r="B16592" t="s">
        <v>2</v>
      </c>
    </row>
    <row r="16593" spans="1:2" x14ac:dyDescent="0.2">
      <c r="A16593" t="str">
        <f>"TMEM169"</f>
        <v>TMEM169</v>
      </c>
      <c r="B16593" t="s">
        <v>2</v>
      </c>
    </row>
    <row r="16594" spans="1:2" x14ac:dyDescent="0.2">
      <c r="A16594" t="str">
        <f>"TMEM17"</f>
        <v>TMEM17</v>
      </c>
      <c r="B16594" t="s">
        <v>2</v>
      </c>
    </row>
    <row r="16595" spans="1:2" x14ac:dyDescent="0.2">
      <c r="A16595" t="str">
        <f>"TMEM170A"</f>
        <v>TMEM170A</v>
      </c>
      <c r="B16595" t="s">
        <v>5</v>
      </c>
    </row>
    <row r="16596" spans="1:2" x14ac:dyDescent="0.2">
      <c r="A16596" t="str">
        <f>"TMEM170B"</f>
        <v>TMEM170B</v>
      </c>
      <c r="B16596" t="s">
        <v>5</v>
      </c>
    </row>
    <row r="16597" spans="1:2" x14ac:dyDescent="0.2">
      <c r="A16597" t="str">
        <f>"TMEM171"</f>
        <v>TMEM171</v>
      </c>
      <c r="B16597" t="s">
        <v>5</v>
      </c>
    </row>
    <row r="16598" spans="1:2" x14ac:dyDescent="0.2">
      <c r="A16598" t="str">
        <f>"TMEM173"</f>
        <v>TMEM173</v>
      </c>
      <c r="B16598" t="s">
        <v>6</v>
      </c>
    </row>
    <row r="16599" spans="1:2" x14ac:dyDescent="0.2">
      <c r="A16599" t="str">
        <f>"TMEM174"</f>
        <v>TMEM174</v>
      </c>
      <c r="B16599" t="s">
        <v>5</v>
      </c>
    </row>
    <row r="16600" spans="1:2" x14ac:dyDescent="0.2">
      <c r="A16600" t="str">
        <f>"TMEM175"</f>
        <v>TMEM175</v>
      </c>
      <c r="B16600" t="s">
        <v>5</v>
      </c>
    </row>
    <row r="16601" spans="1:2" x14ac:dyDescent="0.2">
      <c r="A16601" t="str">
        <f>"TMEM176A"</f>
        <v>TMEM176A</v>
      </c>
      <c r="B16601" t="s">
        <v>6</v>
      </c>
    </row>
    <row r="16602" spans="1:2" x14ac:dyDescent="0.2">
      <c r="A16602" t="str">
        <f>"TMEM176B"</f>
        <v>TMEM176B</v>
      </c>
      <c r="B16602" t="s">
        <v>2</v>
      </c>
    </row>
    <row r="16603" spans="1:2" x14ac:dyDescent="0.2">
      <c r="A16603" t="str">
        <f>"TMEM177"</f>
        <v>TMEM177</v>
      </c>
      <c r="B16603" t="s">
        <v>5</v>
      </c>
    </row>
    <row r="16604" spans="1:2" x14ac:dyDescent="0.2">
      <c r="A16604" t="str">
        <f>"TMEM178A"</f>
        <v>TMEM178A</v>
      </c>
      <c r="B16604" t="s">
        <v>2</v>
      </c>
    </row>
    <row r="16605" spans="1:2" x14ac:dyDescent="0.2">
      <c r="A16605" t="str">
        <f>"TMEM178B"</f>
        <v>TMEM178B</v>
      </c>
      <c r="B16605" t="s">
        <v>5</v>
      </c>
    </row>
    <row r="16606" spans="1:2" x14ac:dyDescent="0.2">
      <c r="A16606" t="str">
        <f>"TMEM179"</f>
        <v>TMEM179</v>
      </c>
      <c r="B16606" t="s">
        <v>5</v>
      </c>
    </row>
    <row r="16607" spans="1:2" x14ac:dyDescent="0.2">
      <c r="A16607" t="str">
        <f>"TMEM179B"</f>
        <v>TMEM179B</v>
      </c>
      <c r="B16607" t="s">
        <v>5</v>
      </c>
    </row>
    <row r="16608" spans="1:2" x14ac:dyDescent="0.2">
      <c r="A16608" t="str">
        <f>"TMEM18"</f>
        <v>TMEM18</v>
      </c>
      <c r="B16608" t="s">
        <v>5</v>
      </c>
    </row>
    <row r="16609" spans="1:2" x14ac:dyDescent="0.2">
      <c r="A16609" t="str">
        <f>"TMEM180"</f>
        <v>TMEM180</v>
      </c>
      <c r="B16609" t="s">
        <v>5</v>
      </c>
    </row>
    <row r="16610" spans="1:2" x14ac:dyDescent="0.2">
      <c r="A16610" t="str">
        <f>"TMEM181"</f>
        <v>TMEM181</v>
      </c>
      <c r="B16610" t="s">
        <v>5</v>
      </c>
    </row>
    <row r="16611" spans="1:2" x14ac:dyDescent="0.2">
      <c r="A16611" t="str">
        <f>"TMEM182"</f>
        <v>TMEM182</v>
      </c>
      <c r="B16611" t="s">
        <v>5</v>
      </c>
    </row>
    <row r="16612" spans="1:2" x14ac:dyDescent="0.2">
      <c r="A16612" t="str">
        <f>"TMEM183A"</f>
        <v>TMEM183A</v>
      </c>
      <c r="B16612" t="s">
        <v>5</v>
      </c>
    </row>
    <row r="16613" spans="1:2" x14ac:dyDescent="0.2">
      <c r="A16613" t="str">
        <f>"TMEM183B"</f>
        <v>TMEM183B</v>
      </c>
      <c r="B16613" t="s">
        <v>5</v>
      </c>
    </row>
    <row r="16614" spans="1:2" x14ac:dyDescent="0.2">
      <c r="A16614" t="str">
        <f>"TMEM184A"</f>
        <v>TMEM184A</v>
      </c>
      <c r="B16614" t="s">
        <v>4</v>
      </c>
    </row>
    <row r="16615" spans="1:2" x14ac:dyDescent="0.2">
      <c r="A16615" t="str">
        <f>"TMEM184B"</f>
        <v>TMEM184B</v>
      </c>
      <c r="B16615" t="s">
        <v>5</v>
      </c>
    </row>
    <row r="16616" spans="1:2" x14ac:dyDescent="0.2">
      <c r="A16616" t="str">
        <f>"TMEM184C"</f>
        <v>TMEM184C</v>
      </c>
      <c r="B16616" t="s">
        <v>5</v>
      </c>
    </row>
    <row r="16617" spans="1:2" x14ac:dyDescent="0.2">
      <c r="A16617" t="str">
        <f>"TMEM185A"</f>
        <v>TMEM185A</v>
      </c>
      <c r="B16617" t="s">
        <v>5</v>
      </c>
    </row>
    <row r="16618" spans="1:2" x14ac:dyDescent="0.2">
      <c r="A16618" t="str">
        <f>"TMEM185B"</f>
        <v>TMEM185B</v>
      </c>
      <c r="B16618" t="s">
        <v>5</v>
      </c>
    </row>
    <row r="16619" spans="1:2" x14ac:dyDescent="0.2">
      <c r="A16619" t="str">
        <f>"TMEM186"</f>
        <v>TMEM186</v>
      </c>
      <c r="B16619" t="s">
        <v>6</v>
      </c>
    </row>
    <row r="16620" spans="1:2" x14ac:dyDescent="0.2">
      <c r="A16620" t="str">
        <f>"TMEM187"</f>
        <v>TMEM187</v>
      </c>
      <c r="B16620" t="s">
        <v>2</v>
      </c>
    </row>
    <row r="16621" spans="1:2" x14ac:dyDescent="0.2">
      <c r="A16621" t="str">
        <f>"TMEM189"</f>
        <v>TMEM189</v>
      </c>
      <c r="B16621" t="s">
        <v>8</v>
      </c>
    </row>
    <row r="16622" spans="1:2" x14ac:dyDescent="0.2">
      <c r="A16622" t="str">
        <f>"TMEM189-UBE2V1"</f>
        <v>TMEM189-UBE2V1</v>
      </c>
      <c r="B16622" t="s">
        <v>2</v>
      </c>
    </row>
    <row r="16623" spans="1:2" x14ac:dyDescent="0.2">
      <c r="A16623" t="str">
        <f>"TMEM19"</f>
        <v>TMEM19</v>
      </c>
      <c r="B16623" t="s">
        <v>5</v>
      </c>
    </row>
    <row r="16624" spans="1:2" x14ac:dyDescent="0.2">
      <c r="A16624" t="str">
        <f>"TMEM190"</f>
        <v>TMEM190</v>
      </c>
      <c r="B16624" t="s">
        <v>5</v>
      </c>
    </row>
    <row r="16625" spans="1:2" x14ac:dyDescent="0.2">
      <c r="A16625" t="str">
        <f>"TMEM191B"</f>
        <v>TMEM191B</v>
      </c>
      <c r="B16625" t="s">
        <v>5</v>
      </c>
    </row>
    <row r="16626" spans="1:2" x14ac:dyDescent="0.2">
      <c r="A16626" t="str">
        <f>"TMEM191C"</f>
        <v>TMEM191C</v>
      </c>
      <c r="B16626" t="s">
        <v>4</v>
      </c>
    </row>
    <row r="16627" spans="1:2" x14ac:dyDescent="0.2">
      <c r="A16627" t="str">
        <f>"TMEM192"</f>
        <v>TMEM192</v>
      </c>
      <c r="B16627" t="s">
        <v>5</v>
      </c>
    </row>
    <row r="16628" spans="1:2" x14ac:dyDescent="0.2">
      <c r="A16628" t="str">
        <f>"TMEM194A"</f>
        <v>TMEM194A</v>
      </c>
      <c r="B16628" t="s">
        <v>5</v>
      </c>
    </row>
    <row r="16629" spans="1:2" x14ac:dyDescent="0.2">
      <c r="A16629" t="str">
        <f>"TMEM194B"</f>
        <v>TMEM194B</v>
      </c>
      <c r="B16629" t="s">
        <v>5</v>
      </c>
    </row>
    <row r="16630" spans="1:2" x14ac:dyDescent="0.2">
      <c r="A16630" t="str">
        <f>"TMEM196"</f>
        <v>TMEM196</v>
      </c>
      <c r="B16630" t="s">
        <v>5</v>
      </c>
    </row>
    <row r="16631" spans="1:2" x14ac:dyDescent="0.2">
      <c r="A16631" t="str">
        <f>"TMEM198"</f>
        <v>TMEM198</v>
      </c>
      <c r="B16631" t="s">
        <v>5</v>
      </c>
    </row>
    <row r="16632" spans="1:2" x14ac:dyDescent="0.2">
      <c r="A16632" t="str">
        <f>"TMEM199"</f>
        <v>TMEM199</v>
      </c>
      <c r="B16632" t="s">
        <v>5</v>
      </c>
    </row>
    <row r="16633" spans="1:2" x14ac:dyDescent="0.2">
      <c r="A16633" t="str">
        <f>"TMEM2"</f>
        <v>TMEM2</v>
      </c>
      <c r="B16633" t="s">
        <v>5</v>
      </c>
    </row>
    <row r="16634" spans="1:2" x14ac:dyDescent="0.2">
      <c r="A16634" t="str">
        <f>"TMEM200A"</f>
        <v>TMEM200A</v>
      </c>
      <c r="B16634" t="s">
        <v>5</v>
      </c>
    </row>
    <row r="16635" spans="1:2" x14ac:dyDescent="0.2">
      <c r="A16635" t="str">
        <f>"TMEM200B"</f>
        <v>TMEM200B</v>
      </c>
      <c r="B16635" t="s">
        <v>5</v>
      </c>
    </row>
    <row r="16636" spans="1:2" x14ac:dyDescent="0.2">
      <c r="A16636" t="str">
        <f>"TMEM200C"</f>
        <v>TMEM200C</v>
      </c>
      <c r="B16636" t="s">
        <v>5</v>
      </c>
    </row>
    <row r="16637" spans="1:2" x14ac:dyDescent="0.2">
      <c r="A16637" t="str">
        <f>"TMEM201"</f>
        <v>TMEM201</v>
      </c>
      <c r="B16637" t="s">
        <v>4</v>
      </c>
    </row>
    <row r="16638" spans="1:2" x14ac:dyDescent="0.2">
      <c r="A16638" t="str">
        <f>"TMEM202"</f>
        <v>TMEM202</v>
      </c>
      <c r="B16638" t="s">
        <v>5</v>
      </c>
    </row>
    <row r="16639" spans="1:2" x14ac:dyDescent="0.2">
      <c r="A16639" t="str">
        <f>"TMEM203"</f>
        <v>TMEM203</v>
      </c>
      <c r="B16639" t="s">
        <v>5</v>
      </c>
    </row>
    <row r="16640" spans="1:2" x14ac:dyDescent="0.2">
      <c r="A16640" t="str">
        <f>"TMEM204"</f>
        <v>TMEM204</v>
      </c>
      <c r="B16640" t="s">
        <v>2</v>
      </c>
    </row>
    <row r="16641" spans="1:2" x14ac:dyDescent="0.2">
      <c r="A16641" t="str">
        <f>"TMEM205"</f>
        <v>TMEM205</v>
      </c>
      <c r="B16641" t="s">
        <v>2</v>
      </c>
    </row>
    <row r="16642" spans="1:2" x14ac:dyDescent="0.2">
      <c r="A16642" t="str">
        <f>"TMEM206"</f>
        <v>TMEM206</v>
      </c>
      <c r="B16642" t="s">
        <v>5</v>
      </c>
    </row>
    <row r="16643" spans="1:2" x14ac:dyDescent="0.2">
      <c r="A16643" t="str">
        <f>"TMEM207"</f>
        <v>TMEM207</v>
      </c>
      <c r="B16643" t="s">
        <v>5</v>
      </c>
    </row>
    <row r="16644" spans="1:2" x14ac:dyDescent="0.2">
      <c r="A16644" t="str">
        <f>"TMEM208"</f>
        <v>TMEM208</v>
      </c>
      <c r="B16644" t="s">
        <v>2</v>
      </c>
    </row>
    <row r="16645" spans="1:2" x14ac:dyDescent="0.2">
      <c r="A16645" t="str">
        <f>"TMEM209"</f>
        <v>TMEM209</v>
      </c>
      <c r="B16645" t="s">
        <v>5</v>
      </c>
    </row>
    <row r="16646" spans="1:2" x14ac:dyDescent="0.2">
      <c r="A16646" t="str">
        <f>"TMEM210"</f>
        <v>TMEM210</v>
      </c>
      <c r="B16646" t="s">
        <v>5</v>
      </c>
    </row>
    <row r="16647" spans="1:2" x14ac:dyDescent="0.2">
      <c r="A16647" t="str">
        <f>"TMEM211"</f>
        <v>TMEM211</v>
      </c>
      <c r="B16647" t="s">
        <v>5</v>
      </c>
    </row>
    <row r="16648" spans="1:2" x14ac:dyDescent="0.2">
      <c r="A16648" t="str">
        <f>"TMEM212"</f>
        <v>TMEM212</v>
      </c>
      <c r="B16648" t="s">
        <v>5</v>
      </c>
    </row>
    <row r="16649" spans="1:2" x14ac:dyDescent="0.2">
      <c r="A16649" t="str">
        <f>"TMEM213"</f>
        <v>TMEM213</v>
      </c>
      <c r="B16649" t="s">
        <v>5</v>
      </c>
    </row>
    <row r="16650" spans="1:2" x14ac:dyDescent="0.2">
      <c r="A16650" t="str">
        <f>"TMEM214"</f>
        <v>TMEM214</v>
      </c>
      <c r="B16650" t="s">
        <v>2</v>
      </c>
    </row>
    <row r="16651" spans="1:2" x14ac:dyDescent="0.2">
      <c r="A16651" t="str">
        <f>"TMEM215"</f>
        <v>TMEM215</v>
      </c>
      <c r="B16651" t="s">
        <v>5</v>
      </c>
    </row>
    <row r="16652" spans="1:2" x14ac:dyDescent="0.2">
      <c r="A16652" t="str">
        <f>"TMEM216"</f>
        <v>TMEM216</v>
      </c>
      <c r="B16652" t="s">
        <v>5</v>
      </c>
    </row>
    <row r="16653" spans="1:2" x14ac:dyDescent="0.2">
      <c r="A16653" t="str">
        <f>"TMEM217"</f>
        <v>TMEM217</v>
      </c>
      <c r="B16653" t="s">
        <v>5</v>
      </c>
    </row>
    <row r="16654" spans="1:2" x14ac:dyDescent="0.2">
      <c r="A16654" t="str">
        <f>"TMEM218"</f>
        <v>TMEM218</v>
      </c>
      <c r="B16654" t="s">
        <v>5</v>
      </c>
    </row>
    <row r="16655" spans="1:2" x14ac:dyDescent="0.2">
      <c r="A16655" t="str">
        <f>"TMEM219"</f>
        <v>TMEM219</v>
      </c>
      <c r="B16655" t="s">
        <v>5</v>
      </c>
    </row>
    <row r="16656" spans="1:2" x14ac:dyDescent="0.2">
      <c r="A16656" t="str">
        <f>"TMEM220"</f>
        <v>TMEM220</v>
      </c>
      <c r="B16656" t="s">
        <v>6</v>
      </c>
    </row>
    <row r="16657" spans="1:2" x14ac:dyDescent="0.2">
      <c r="A16657" t="str">
        <f>"TMEM221"</f>
        <v>TMEM221</v>
      </c>
      <c r="B16657" t="s">
        <v>5</v>
      </c>
    </row>
    <row r="16658" spans="1:2" x14ac:dyDescent="0.2">
      <c r="A16658" t="str">
        <f>"TMEM222"</f>
        <v>TMEM222</v>
      </c>
      <c r="B16658" t="s">
        <v>5</v>
      </c>
    </row>
    <row r="16659" spans="1:2" x14ac:dyDescent="0.2">
      <c r="A16659" t="str">
        <f>"TMEM223"</f>
        <v>TMEM223</v>
      </c>
      <c r="B16659" t="s">
        <v>6</v>
      </c>
    </row>
    <row r="16660" spans="1:2" x14ac:dyDescent="0.2">
      <c r="A16660" t="str">
        <f>"TMEM225"</f>
        <v>TMEM225</v>
      </c>
      <c r="B16660" t="s">
        <v>5</v>
      </c>
    </row>
    <row r="16661" spans="1:2" x14ac:dyDescent="0.2">
      <c r="A16661" t="str">
        <f>"TMEM229A"</f>
        <v>TMEM229A</v>
      </c>
      <c r="B16661" t="s">
        <v>4</v>
      </c>
    </row>
    <row r="16662" spans="1:2" x14ac:dyDescent="0.2">
      <c r="A16662" t="str">
        <f>"TMEM229B"</f>
        <v>TMEM229B</v>
      </c>
      <c r="B16662" t="s">
        <v>5</v>
      </c>
    </row>
    <row r="16663" spans="1:2" x14ac:dyDescent="0.2">
      <c r="A16663" t="str">
        <f>"TMEM230"</f>
        <v>TMEM230</v>
      </c>
      <c r="B16663" t="s">
        <v>2</v>
      </c>
    </row>
    <row r="16664" spans="1:2" x14ac:dyDescent="0.2">
      <c r="A16664" t="str">
        <f>"TMEM231"</f>
        <v>TMEM231</v>
      </c>
      <c r="B16664" t="s">
        <v>5</v>
      </c>
    </row>
    <row r="16665" spans="1:2" x14ac:dyDescent="0.2">
      <c r="A16665" t="str">
        <f>"TMEM232"</f>
        <v>TMEM232</v>
      </c>
      <c r="B16665" t="s">
        <v>5</v>
      </c>
    </row>
    <row r="16666" spans="1:2" x14ac:dyDescent="0.2">
      <c r="A16666" t="str">
        <f>"TMEM233"</f>
        <v>TMEM233</v>
      </c>
      <c r="B16666" t="s">
        <v>5</v>
      </c>
    </row>
    <row r="16667" spans="1:2" x14ac:dyDescent="0.2">
      <c r="A16667" t="str">
        <f>"TMEM234"</f>
        <v>TMEM234</v>
      </c>
      <c r="B16667" t="s">
        <v>5</v>
      </c>
    </row>
    <row r="16668" spans="1:2" x14ac:dyDescent="0.2">
      <c r="A16668" t="str">
        <f>"TMEM235"</f>
        <v>TMEM235</v>
      </c>
      <c r="B16668" t="s">
        <v>8</v>
      </c>
    </row>
    <row r="16669" spans="1:2" x14ac:dyDescent="0.2">
      <c r="A16669" t="str">
        <f>"TMEM236"</f>
        <v>TMEM236</v>
      </c>
      <c r="B16669" t="s">
        <v>5</v>
      </c>
    </row>
    <row r="16670" spans="1:2" x14ac:dyDescent="0.2">
      <c r="A16670" t="str">
        <f>"TMEM237"</f>
        <v>TMEM237</v>
      </c>
      <c r="B16670" t="s">
        <v>5</v>
      </c>
    </row>
    <row r="16671" spans="1:2" x14ac:dyDescent="0.2">
      <c r="A16671" t="str">
        <f>"TMEM238"</f>
        <v>TMEM238</v>
      </c>
      <c r="B16671" t="s">
        <v>5</v>
      </c>
    </row>
    <row r="16672" spans="1:2" x14ac:dyDescent="0.2">
      <c r="A16672" t="str">
        <f>"TMEM239"</f>
        <v>TMEM239</v>
      </c>
      <c r="B16672" t="s">
        <v>4</v>
      </c>
    </row>
    <row r="16673" spans="1:2" x14ac:dyDescent="0.2">
      <c r="A16673" t="str">
        <f>"TMEM240"</f>
        <v>TMEM240</v>
      </c>
      <c r="B16673" t="s">
        <v>4</v>
      </c>
    </row>
    <row r="16674" spans="1:2" x14ac:dyDescent="0.2">
      <c r="A16674" t="str">
        <f>"TMEM241"</f>
        <v>TMEM241</v>
      </c>
      <c r="B16674" t="s">
        <v>5</v>
      </c>
    </row>
    <row r="16675" spans="1:2" x14ac:dyDescent="0.2">
      <c r="A16675" t="str">
        <f>"TMEM242"</f>
        <v>TMEM242</v>
      </c>
      <c r="B16675" t="s">
        <v>5</v>
      </c>
    </row>
    <row r="16676" spans="1:2" x14ac:dyDescent="0.2">
      <c r="A16676" t="str">
        <f>"TMEM243"</f>
        <v>TMEM243</v>
      </c>
      <c r="B16676" t="s">
        <v>5</v>
      </c>
    </row>
    <row r="16677" spans="1:2" x14ac:dyDescent="0.2">
      <c r="A16677" t="str">
        <f>"TMEM244"</f>
        <v>TMEM244</v>
      </c>
      <c r="B16677" t="s">
        <v>5</v>
      </c>
    </row>
    <row r="16678" spans="1:2" x14ac:dyDescent="0.2">
      <c r="A16678" t="str">
        <f>"TMEM245"</f>
        <v>TMEM245</v>
      </c>
      <c r="B16678" t="s">
        <v>5</v>
      </c>
    </row>
    <row r="16679" spans="1:2" x14ac:dyDescent="0.2">
      <c r="A16679" t="str">
        <f>"TMEM246"</f>
        <v>TMEM246</v>
      </c>
      <c r="B16679" t="s">
        <v>5</v>
      </c>
    </row>
    <row r="16680" spans="1:2" x14ac:dyDescent="0.2">
      <c r="A16680" t="str">
        <f>"TMEM247"</f>
        <v>TMEM247</v>
      </c>
      <c r="B16680" t="s">
        <v>4</v>
      </c>
    </row>
    <row r="16681" spans="1:2" x14ac:dyDescent="0.2">
      <c r="A16681" t="str">
        <f>"TMEM248"</f>
        <v>TMEM248</v>
      </c>
      <c r="B16681" t="s">
        <v>5</v>
      </c>
    </row>
    <row r="16682" spans="1:2" x14ac:dyDescent="0.2">
      <c r="A16682" t="str">
        <f>"TMEM249"</f>
        <v>TMEM249</v>
      </c>
      <c r="B16682" t="s">
        <v>5</v>
      </c>
    </row>
    <row r="16683" spans="1:2" x14ac:dyDescent="0.2">
      <c r="A16683" t="str">
        <f>"TMEM25"</f>
        <v>TMEM25</v>
      </c>
      <c r="B16683" t="s">
        <v>5</v>
      </c>
    </row>
    <row r="16684" spans="1:2" x14ac:dyDescent="0.2">
      <c r="A16684" t="str">
        <f>"TMEM251"</f>
        <v>TMEM251</v>
      </c>
      <c r="B16684" t="s">
        <v>5</v>
      </c>
    </row>
    <row r="16685" spans="1:2" x14ac:dyDescent="0.2">
      <c r="A16685" t="str">
        <f>"TMEM252"</f>
        <v>TMEM252</v>
      </c>
      <c r="B16685" t="s">
        <v>5</v>
      </c>
    </row>
    <row r="16686" spans="1:2" x14ac:dyDescent="0.2">
      <c r="A16686" t="str">
        <f>"TMEM253"</f>
        <v>TMEM253</v>
      </c>
      <c r="B16686" t="s">
        <v>4</v>
      </c>
    </row>
    <row r="16687" spans="1:2" x14ac:dyDescent="0.2">
      <c r="A16687" t="str">
        <f>"TMEM254"</f>
        <v>TMEM254</v>
      </c>
      <c r="B16687" t="s">
        <v>5</v>
      </c>
    </row>
    <row r="16688" spans="1:2" x14ac:dyDescent="0.2">
      <c r="A16688" t="str">
        <f>"TMEM255A"</f>
        <v>TMEM255A</v>
      </c>
      <c r="B16688" t="s">
        <v>5</v>
      </c>
    </row>
    <row r="16689" spans="1:2" x14ac:dyDescent="0.2">
      <c r="A16689" t="str">
        <f>"TMEM255B"</f>
        <v>TMEM255B</v>
      </c>
      <c r="B16689" t="s">
        <v>5</v>
      </c>
    </row>
    <row r="16690" spans="1:2" x14ac:dyDescent="0.2">
      <c r="A16690" t="str">
        <f>"TMEM256"</f>
        <v>TMEM256</v>
      </c>
      <c r="B16690" t="s">
        <v>2</v>
      </c>
    </row>
    <row r="16691" spans="1:2" x14ac:dyDescent="0.2">
      <c r="A16691" t="str">
        <f>"TMEM257"</f>
        <v>TMEM257</v>
      </c>
      <c r="B16691" t="s">
        <v>5</v>
      </c>
    </row>
    <row r="16692" spans="1:2" x14ac:dyDescent="0.2">
      <c r="A16692" t="str">
        <f>"TMEM258"</f>
        <v>TMEM258</v>
      </c>
      <c r="B16692" t="s">
        <v>2</v>
      </c>
    </row>
    <row r="16693" spans="1:2" x14ac:dyDescent="0.2">
      <c r="A16693" t="str">
        <f>"TMEM259"</f>
        <v>TMEM259</v>
      </c>
      <c r="B16693" t="s">
        <v>5</v>
      </c>
    </row>
    <row r="16694" spans="1:2" x14ac:dyDescent="0.2">
      <c r="A16694" t="str">
        <f>"TMEM26"</f>
        <v>TMEM26</v>
      </c>
      <c r="B16694" t="s">
        <v>5</v>
      </c>
    </row>
    <row r="16695" spans="1:2" x14ac:dyDescent="0.2">
      <c r="A16695" t="str">
        <f>"TMEM260"</f>
        <v>TMEM260</v>
      </c>
      <c r="B16695" t="s">
        <v>5</v>
      </c>
    </row>
    <row r="16696" spans="1:2" x14ac:dyDescent="0.2">
      <c r="A16696" t="str">
        <f>"TMEM261"</f>
        <v>TMEM261</v>
      </c>
      <c r="B16696" t="s">
        <v>5</v>
      </c>
    </row>
    <row r="16697" spans="1:2" x14ac:dyDescent="0.2">
      <c r="A16697" t="str">
        <f>"TMEM27"</f>
        <v>TMEM27</v>
      </c>
      <c r="B16697" t="s">
        <v>2</v>
      </c>
    </row>
    <row r="16698" spans="1:2" x14ac:dyDescent="0.2">
      <c r="A16698" t="str">
        <f>"TMEM30A"</f>
        <v>TMEM30A</v>
      </c>
      <c r="B16698" t="s">
        <v>3</v>
      </c>
    </row>
    <row r="16699" spans="1:2" x14ac:dyDescent="0.2">
      <c r="A16699" t="str">
        <f>"TMEM30B"</f>
        <v>TMEM30B</v>
      </c>
      <c r="B16699" t="s">
        <v>5</v>
      </c>
    </row>
    <row r="16700" spans="1:2" x14ac:dyDescent="0.2">
      <c r="A16700" t="str">
        <f>"TMEM31"</f>
        <v>TMEM31</v>
      </c>
      <c r="B16700" t="s">
        <v>4</v>
      </c>
    </row>
    <row r="16701" spans="1:2" x14ac:dyDescent="0.2">
      <c r="A16701" t="str">
        <f>"TMEM33"</f>
        <v>TMEM33</v>
      </c>
      <c r="B16701" t="s">
        <v>6</v>
      </c>
    </row>
    <row r="16702" spans="1:2" x14ac:dyDescent="0.2">
      <c r="A16702" t="str">
        <f>"TMEM35"</f>
        <v>TMEM35</v>
      </c>
      <c r="B16702" t="s">
        <v>5</v>
      </c>
    </row>
    <row r="16703" spans="1:2" x14ac:dyDescent="0.2">
      <c r="A16703" t="str">
        <f>"TMEM37"</f>
        <v>TMEM37</v>
      </c>
      <c r="B16703" t="s">
        <v>5</v>
      </c>
    </row>
    <row r="16704" spans="1:2" x14ac:dyDescent="0.2">
      <c r="A16704" t="str">
        <f>"TMEM38A"</f>
        <v>TMEM38A</v>
      </c>
      <c r="B16704" t="s">
        <v>5</v>
      </c>
    </row>
    <row r="16705" spans="1:2" x14ac:dyDescent="0.2">
      <c r="A16705" t="str">
        <f>"TMEM38B"</f>
        <v>TMEM38B</v>
      </c>
      <c r="B16705" t="s">
        <v>6</v>
      </c>
    </row>
    <row r="16706" spans="1:2" x14ac:dyDescent="0.2">
      <c r="A16706" t="str">
        <f>"TMEM39A"</f>
        <v>TMEM39A</v>
      </c>
      <c r="B16706" t="s">
        <v>2</v>
      </c>
    </row>
    <row r="16707" spans="1:2" x14ac:dyDescent="0.2">
      <c r="A16707" t="str">
        <f>"TMEM39B"</f>
        <v>TMEM39B</v>
      </c>
      <c r="B16707" t="s">
        <v>5</v>
      </c>
    </row>
    <row r="16708" spans="1:2" x14ac:dyDescent="0.2">
      <c r="A16708" t="str">
        <f>"TMEM40"</f>
        <v>TMEM40</v>
      </c>
      <c r="B16708" t="s">
        <v>5</v>
      </c>
    </row>
    <row r="16709" spans="1:2" x14ac:dyDescent="0.2">
      <c r="A16709" t="str">
        <f>"TMEM41A"</f>
        <v>TMEM41A</v>
      </c>
      <c r="B16709" t="s">
        <v>6</v>
      </c>
    </row>
    <row r="16710" spans="1:2" x14ac:dyDescent="0.2">
      <c r="A16710" t="str">
        <f>"TMEM41B"</f>
        <v>TMEM41B</v>
      </c>
      <c r="B16710" t="s">
        <v>5</v>
      </c>
    </row>
    <row r="16711" spans="1:2" x14ac:dyDescent="0.2">
      <c r="A16711" t="str">
        <f>"TMEM42"</f>
        <v>TMEM42</v>
      </c>
      <c r="B16711" t="s">
        <v>4</v>
      </c>
    </row>
    <row r="16712" spans="1:2" x14ac:dyDescent="0.2">
      <c r="A16712" t="str">
        <f>"TMEM43"</f>
        <v>TMEM43</v>
      </c>
      <c r="B16712" t="s">
        <v>5</v>
      </c>
    </row>
    <row r="16713" spans="1:2" x14ac:dyDescent="0.2">
      <c r="A16713" t="str">
        <f>"TMEM44"</f>
        <v>TMEM44</v>
      </c>
      <c r="B16713" t="s">
        <v>5</v>
      </c>
    </row>
    <row r="16714" spans="1:2" x14ac:dyDescent="0.2">
      <c r="A16714" t="str">
        <f>"TMEM45A"</f>
        <v>TMEM45A</v>
      </c>
      <c r="B16714" t="s">
        <v>5</v>
      </c>
    </row>
    <row r="16715" spans="1:2" x14ac:dyDescent="0.2">
      <c r="A16715" t="str">
        <f>"TMEM45B"</f>
        <v>TMEM45B</v>
      </c>
      <c r="B16715" t="s">
        <v>5</v>
      </c>
    </row>
    <row r="16716" spans="1:2" x14ac:dyDescent="0.2">
      <c r="A16716" t="str">
        <f>"TMEM47"</f>
        <v>TMEM47</v>
      </c>
      <c r="B16716" t="s">
        <v>5</v>
      </c>
    </row>
    <row r="16717" spans="1:2" x14ac:dyDescent="0.2">
      <c r="A16717" t="str">
        <f>"TMEM5"</f>
        <v>TMEM5</v>
      </c>
      <c r="B16717" t="s">
        <v>2</v>
      </c>
    </row>
    <row r="16718" spans="1:2" x14ac:dyDescent="0.2">
      <c r="A16718" t="str">
        <f>"TMEM50A"</f>
        <v>TMEM50A</v>
      </c>
      <c r="B16718" t="s">
        <v>2</v>
      </c>
    </row>
    <row r="16719" spans="1:2" x14ac:dyDescent="0.2">
      <c r="A16719" t="str">
        <f>"TMEM50B"</f>
        <v>TMEM50B</v>
      </c>
      <c r="B16719" t="s">
        <v>6</v>
      </c>
    </row>
    <row r="16720" spans="1:2" x14ac:dyDescent="0.2">
      <c r="A16720" t="str">
        <f>"TMEM51"</f>
        <v>TMEM51</v>
      </c>
      <c r="B16720" t="s">
        <v>5</v>
      </c>
    </row>
    <row r="16721" spans="1:2" x14ac:dyDescent="0.2">
      <c r="A16721" t="str">
        <f>"TMEM52"</f>
        <v>TMEM52</v>
      </c>
      <c r="B16721" t="s">
        <v>5</v>
      </c>
    </row>
    <row r="16722" spans="1:2" x14ac:dyDescent="0.2">
      <c r="A16722" t="str">
        <f>"TMEM52B"</f>
        <v>TMEM52B</v>
      </c>
      <c r="B16722" t="s">
        <v>5</v>
      </c>
    </row>
    <row r="16723" spans="1:2" x14ac:dyDescent="0.2">
      <c r="A16723" t="str">
        <f>"TMEM53"</f>
        <v>TMEM53</v>
      </c>
      <c r="B16723" t="s">
        <v>5</v>
      </c>
    </row>
    <row r="16724" spans="1:2" x14ac:dyDescent="0.2">
      <c r="A16724" t="str">
        <f>"TMEM54"</f>
        <v>TMEM54</v>
      </c>
      <c r="B16724" t="s">
        <v>5</v>
      </c>
    </row>
    <row r="16725" spans="1:2" x14ac:dyDescent="0.2">
      <c r="A16725" t="str">
        <f>"TMEM55A"</f>
        <v>TMEM55A</v>
      </c>
      <c r="B16725" t="s">
        <v>2</v>
      </c>
    </row>
    <row r="16726" spans="1:2" x14ac:dyDescent="0.2">
      <c r="A16726" t="str">
        <f>"TMEM55B"</f>
        <v>TMEM55B</v>
      </c>
      <c r="B16726" t="s">
        <v>2</v>
      </c>
    </row>
    <row r="16727" spans="1:2" x14ac:dyDescent="0.2">
      <c r="A16727" t="str">
        <f>"TMEM56"</f>
        <v>TMEM56</v>
      </c>
      <c r="B16727" t="s">
        <v>5</v>
      </c>
    </row>
    <row r="16728" spans="1:2" x14ac:dyDescent="0.2">
      <c r="A16728" t="str">
        <f>"TMEM56-RWDD3"</f>
        <v>TMEM56-RWDD3</v>
      </c>
      <c r="B16728" t="s">
        <v>4</v>
      </c>
    </row>
    <row r="16729" spans="1:2" x14ac:dyDescent="0.2">
      <c r="A16729" t="str">
        <f>"TMEM57"</f>
        <v>TMEM57</v>
      </c>
      <c r="B16729" t="s">
        <v>3</v>
      </c>
    </row>
    <row r="16730" spans="1:2" x14ac:dyDescent="0.2">
      <c r="A16730" t="str">
        <f>"TMEM59"</f>
        <v>TMEM59</v>
      </c>
      <c r="B16730" t="s">
        <v>5</v>
      </c>
    </row>
    <row r="16731" spans="1:2" x14ac:dyDescent="0.2">
      <c r="A16731" t="str">
        <f>"TMEM59L"</f>
        <v>TMEM59L</v>
      </c>
      <c r="B16731" t="s">
        <v>5</v>
      </c>
    </row>
    <row r="16732" spans="1:2" x14ac:dyDescent="0.2">
      <c r="A16732" t="str">
        <f>"TMEM60"</f>
        <v>TMEM60</v>
      </c>
      <c r="B16732" t="s">
        <v>5</v>
      </c>
    </row>
    <row r="16733" spans="1:2" x14ac:dyDescent="0.2">
      <c r="A16733" t="str">
        <f>"TMEM61"</f>
        <v>TMEM61</v>
      </c>
      <c r="B16733" t="s">
        <v>5</v>
      </c>
    </row>
    <row r="16734" spans="1:2" x14ac:dyDescent="0.2">
      <c r="A16734" t="str">
        <f>"TMEM62"</f>
        <v>TMEM62</v>
      </c>
      <c r="B16734" t="s">
        <v>5</v>
      </c>
    </row>
    <row r="16735" spans="1:2" x14ac:dyDescent="0.2">
      <c r="A16735" t="str">
        <f>"TMEM63A"</f>
        <v>TMEM63A</v>
      </c>
      <c r="B16735" t="s">
        <v>5</v>
      </c>
    </row>
    <row r="16736" spans="1:2" x14ac:dyDescent="0.2">
      <c r="A16736" t="str">
        <f>"TMEM63B"</f>
        <v>TMEM63B</v>
      </c>
      <c r="B16736" t="s">
        <v>5</v>
      </c>
    </row>
    <row r="16737" spans="1:2" x14ac:dyDescent="0.2">
      <c r="A16737" t="str">
        <f>"TMEM63C"</f>
        <v>TMEM63C</v>
      </c>
      <c r="B16737" t="s">
        <v>2</v>
      </c>
    </row>
    <row r="16738" spans="1:2" x14ac:dyDescent="0.2">
      <c r="A16738" t="str">
        <f>"TMEM64"</f>
        <v>TMEM64</v>
      </c>
      <c r="B16738" t="s">
        <v>5</v>
      </c>
    </row>
    <row r="16739" spans="1:2" x14ac:dyDescent="0.2">
      <c r="A16739" t="str">
        <f>"TMEM65"</f>
        <v>TMEM65</v>
      </c>
      <c r="B16739" t="s">
        <v>6</v>
      </c>
    </row>
    <row r="16740" spans="1:2" x14ac:dyDescent="0.2">
      <c r="A16740" t="str">
        <f>"TMEM66"</f>
        <v>TMEM66</v>
      </c>
      <c r="B16740" t="s">
        <v>5</v>
      </c>
    </row>
    <row r="16741" spans="1:2" x14ac:dyDescent="0.2">
      <c r="A16741" t="str">
        <f>"TMEM67"</f>
        <v>TMEM67</v>
      </c>
      <c r="B16741" t="s">
        <v>5</v>
      </c>
    </row>
    <row r="16742" spans="1:2" x14ac:dyDescent="0.2">
      <c r="A16742" t="str">
        <f>"TMEM68"</f>
        <v>TMEM68</v>
      </c>
      <c r="B16742" t="s">
        <v>5</v>
      </c>
    </row>
    <row r="16743" spans="1:2" x14ac:dyDescent="0.2">
      <c r="A16743" t="str">
        <f>"TMEM69"</f>
        <v>TMEM69</v>
      </c>
      <c r="B16743" t="s">
        <v>5</v>
      </c>
    </row>
    <row r="16744" spans="1:2" x14ac:dyDescent="0.2">
      <c r="A16744" t="str">
        <f>"TMEM70"</f>
        <v>TMEM70</v>
      </c>
      <c r="B16744" t="s">
        <v>6</v>
      </c>
    </row>
    <row r="16745" spans="1:2" x14ac:dyDescent="0.2">
      <c r="A16745" t="str">
        <f>"TMEM71"</f>
        <v>TMEM71</v>
      </c>
      <c r="B16745" t="s">
        <v>5</v>
      </c>
    </row>
    <row r="16746" spans="1:2" x14ac:dyDescent="0.2">
      <c r="A16746" t="str">
        <f>"TMEM72"</f>
        <v>TMEM72</v>
      </c>
      <c r="B16746" t="s">
        <v>5</v>
      </c>
    </row>
    <row r="16747" spans="1:2" x14ac:dyDescent="0.2">
      <c r="A16747" t="str">
        <f>"TMEM74"</f>
        <v>TMEM74</v>
      </c>
      <c r="B16747" t="s">
        <v>2</v>
      </c>
    </row>
    <row r="16748" spans="1:2" x14ac:dyDescent="0.2">
      <c r="A16748" t="str">
        <f>"TMEM74B"</f>
        <v>TMEM74B</v>
      </c>
      <c r="B16748" t="s">
        <v>5</v>
      </c>
    </row>
    <row r="16749" spans="1:2" x14ac:dyDescent="0.2">
      <c r="A16749" t="str">
        <f>"TMEM79"</f>
        <v>TMEM79</v>
      </c>
      <c r="B16749" t="s">
        <v>5</v>
      </c>
    </row>
    <row r="16750" spans="1:2" x14ac:dyDescent="0.2">
      <c r="A16750" t="str">
        <f>"TMEM80"</f>
        <v>TMEM80</v>
      </c>
      <c r="B16750" t="s">
        <v>5</v>
      </c>
    </row>
    <row r="16751" spans="1:2" x14ac:dyDescent="0.2">
      <c r="A16751" t="str">
        <f>"TMEM81"</f>
        <v>TMEM81</v>
      </c>
      <c r="B16751" t="s">
        <v>5</v>
      </c>
    </row>
    <row r="16752" spans="1:2" x14ac:dyDescent="0.2">
      <c r="A16752" t="str">
        <f>"TMEM82"</f>
        <v>TMEM82</v>
      </c>
      <c r="B16752" t="s">
        <v>5</v>
      </c>
    </row>
    <row r="16753" spans="1:2" x14ac:dyDescent="0.2">
      <c r="A16753" t="str">
        <f>"TMEM86A"</f>
        <v>TMEM86A</v>
      </c>
      <c r="B16753" t="s">
        <v>5</v>
      </c>
    </row>
    <row r="16754" spans="1:2" x14ac:dyDescent="0.2">
      <c r="A16754" t="str">
        <f>"TMEM86B"</f>
        <v>TMEM86B</v>
      </c>
      <c r="B16754" t="s">
        <v>5</v>
      </c>
    </row>
    <row r="16755" spans="1:2" x14ac:dyDescent="0.2">
      <c r="A16755" t="str">
        <f>"TMEM87A"</f>
        <v>TMEM87A</v>
      </c>
      <c r="B16755" t="s">
        <v>2</v>
      </c>
    </row>
    <row r="16756" spans="1:2" x14ac:dyDescent="0.2">
      <c r="A16756" t="str">
        <f>"TMEM87B"</f>
        <v>TMEM87B</v>
      </c>
      <c r="B16756" t="s">
        <v>5</v>
      </c>
    </row>
    <row r="16757" spans="1:2" x14ac:dyDescent="0.2">
      <c r="A16757" t="str">
        <f>"TMEM88"</f>
        <v>TMEM88</v>
      </c>
      <c r="B16757" t="s">
        <v>5</v>
      </c>
    </row>
    <row r="16758" spans="1:2" x14ac:dyDescent="0.2">
      <c r="A16758" t="str">
        <f>"TMEM88B"</f>
        <v>TMEM88B</v>
      </c>
      <c r="B16758" t="s">
        <v>5</v>
      </c>
    </row>
    <row r="16759" spans="1:2" x14ac:dyDescent="0.2">
      <c r="A16759" t="str">
        <f>"TMEM89"</f>
        <v>TMEM89</v>
      </c>
      <c r="B16759" t="s">
        <v>5</v>
      </c>
    </row>
    <row r="16760" spans="1:2" x14ac:dyDescent="0.2">
      <c r="A16760" t="str">
        <f>"TMEM8A"</f>
        <v>TMEM8A</v>
      </c>
      <c r="B16760" t="s">
        <v>5</v>
      </c>
    </row>
    <row r="16761" spans="1:2" x14ac:dyDescent="0.2">
      <c r="A16761" t="str">
        <f>"TMEM8B"</f>
        <v>TMEM8B</v>
      </c>
      <c r="B16761" t="s">
        <v>3</v>
      </c>
    </row>
    <row r="16762" spans="1:2" x14ac:dyDescent="0.2">
      <c r="A16762" t="str">
        <f>"TMEM8C"</f>
        <v>TMEM8C</v>
      </c>
      <c r="B16762" t="s">
        <v>5</v>
      </c>
    </row>
    <row r="16763" spans="1:2" x14ac:dyDescent="0.2">
      <c r="A16763" t="str">
        <f>"TMEM9"</f>
        <v>TMEM9</v>
      </c>
      <c r="B16763" t="s">
        <v>2</v>
      </c>
    </row>
    <row r="16764" spans="1:2" x14ac:dyDescent="0.2">
      <c r="A16764" t="str">
        <f>"TMEM91"</f>
        <v>TMEM91</v>
      </c>
      <c r="B16764" t="s">
        <v>6</v>
      </c>
    </row>
    <row r="16765" spans="1:2" x14ac:dyDescent="0.2">
      <c r="A16765" t="str">
        <f>"TMEM92"</f>
        <v>TMEM92</v>
      </c>
      <c r="B16765" t="s">
        <v>5</v>
      </c>
    </row>
    <row r="16766" spans="1:2" x14ac:dyDescent="0.2">
      <c r="A16766" t="str">
        <f>"TMEM95"</f>
        <v>TMEM95</v>
      </c>
      <c r="B16766" t="s">
        <v>5</v>
      </c>
    </row>
    <row r="16767" spans="1:2" x14ac:dyDescent="0.2">
      <c r="A16767" t="str">
        <f>"TMEM97"</f>
        <v>TMEM97</v>
      </c>
      <c r="B16767" t="s">
        <v>5</v>
      </c>
    </row>
    <row r="16768" spans="1:2" x14ac:dyDescent="0.2">
      <c r="A16768" t="str">
        <f>"TMEM98"</f>
        <v>TMEM98</v>
      </c>
      <c r="B16768" t="s">
        <v>2</v>
      </c>
    </row>
    <row r="16769" spans="1:2" x14ac:dyDescent="0.2">
      <c r="A16769" t="str">
        <f>"TMEM99"</f>
        <v>TMEM99</v>
      </c>
      <c r="B16769" t="s">
        <v>5</v>
      </c>
    </row>
    <row r="16770" spans="1:2" x14ac:dyDescent="0.2">
      <c r="A16770" t="str">
        <f>"TMEM9B"</f>
        <v>TMEM9B</v>
      </c>
      <c r="B16770" t="s">
        <v>5</v>
      </c>
    </row>
    <row r="16771" spans="1:2" x14ac:dyDescent="0.2">
      <c r="A16771" t="str">
        <f>"TMF1"</f>
        <v>TMF1</v>
      </c>
      <c r="B16771" t="s">
        <v>3</v>
      </c>
    </row>
    <row r="16772" spans="1:2" x14ac:dyDescent="0.2">
      <c r="A16772" t="str">
        <f>"TMIE"</f>
        <v>TMIE</v>
      </c>
      <c r="B16772" t="s">
        <v>5</v>
      </c>
    </row>
    <row r="16773" spans="1:2" x14ac:dyDescent="0.2">
      <c r="A16773" t="str">
        <f>"TMIGD1"</f>
        <v>TMIGD1</v>
      </c>
      <c r="B16773" t="s">
        <v>4</v>
      </c>
    </row>
    <row r="16774" spans="1:2" x14ac:dyDescent="0.2">
      <c r="A16774" t="str">
        <f>"TMIGD2"</f>
        <v>TMIGD2</v>
      </c>
      <c r="B16774" t="s">
        <v>5</v>
      </c>
    </row>
    <row r="16775" spans="1:2" x14ac:dyDescent="0.2">
      <c r="A16775" t="str">
        <f>"TMLHE"</f>
        <v>TMLHE</v>
      </c>
      <c r="B16775" t="s">
        <v>7</v>
      </c>
    </row>
    <row r="16776" spans="1:2" x14ac:dyDescent="0.2">
      <c r="A16776" t="str">
        <f>"TMOD1"</f>
        <v>TMOD1</v>
      </c>
      <c r="B16776" t="s">
        <v>6</v>
      </c>
    </row>
    <row r="16777" spans="1:2" x14ac:dyDescent="0.2">
      <c r="A16777" t="str">
        <f>"TMOD2"</f>
        <v>TMOD2</v>
      </c>
      <c r="B16777" t="s">
        <v>6</v>
      </c>
    </row>
    <row r="16778" spans="1:2" x14ac:dyDescent="0.2">
      <c r="A16778" t="str">
        <f>"TMOD3"</f>
        <v>TMOD3</v>
      </c>
      <c r="B16778" t="s">
        <v>6</v>
      </c>
    </row>
    <row r="16779" spans="1:2" x14ac:dyDescent="0.2">
      <c r="A16779" t="str">
        <f>"TMOD4"</f>
        <v>TMOD4</v>
      </c>
      <c r="B16779" t="s">
        <v>6</v>
      </c>
    </row>
    <row r="16780" spans="1:2" x14ac:dyDescent="0.2">
      <c r="A16780" t="str">
        <f>"TMPO"</f>
        <v>TMPO</v>
      </c>
      <c r="B16780" t="s">
        <v>8</v>
      </c>
    </row>
    <row r="16781" spans="1:2" x14ac:dyDescent="0.2">
      <c r="A16781" t="str">
        <f>"TMPPE"</f>
        <v>TMPPE</v>
      </c>
      <c r="B16781" t="s">
        <v>5</v>
      </c>
    </row>
    <row r="16782" spans="1:2" x14ac:dyDescent="0.2">
      <c r="A16782" t="str">
        <f>"TMPRSS11A"</f>
        <v>TMPRSS11A</v>
      </c>
      <c r="B16782" t="s">
        <v>3</v>
      </c>
    </row>
    <row r="16783" spans="1:2" x14ac:dyDescent="0.2">
      <c r="A16783" t="str">
        <f>"TMPRSS11B"</f>
        <v>TMPRSS11B</v>
      </c>
      <c r="B16783" t="s">
        <v>2</v>
      </c>
    </row>
    <row r="16784" spans="1:2" x14ac:dyDescent="0.2">
      <c r="A16784" t="str">
        <f>"TMPRSS11BNL"</f>
        <v>TMPRSS11BNL</v>
      </c>
      <c r="B16784" t="s">
        <v>5</v>
      </c>
    </row>
    <row r="16785" spans="1:2" x14ac:dyDescent="0.2">
      <c r="A16785" t="str">
        <f>"TMPRSS11D"</f>
        <v>TMPRSS11D</v>
      </c>
      <c r="B16785" t="s">
        <v>2</v>
      </c>
    </row>
    <row r="16786" spans="1:2" x14ac:dyDescent="0.2">
      <c r="A16786" t="str">
        <f>"TMPRSS11E"</f>
        <v>TMPRSS11E</v>
      </c>
      <c r="B16786" t="s">
        <v>2</v>
      </c>
    </row>
    <row r="16787" spans="1:2" x14ac:dyDescent="0.2">
      <c r="A16787" t="str">
        <f>"TMPRSS11F"</f>
        <v>TMPRSS11F</v>
      </c>
      <c r="B16787" t="s">
        <v>2</v>
      </c>
    </row>
    <row r="16788" spans="1:2" x14ac:dyDescent="0.2">
      <c r="A16788" t="str">
        <f>"TMPRSS12"</f>
        <v>TMPRSS12</v>
      </c>
      <c r="B16788" t="s">
        <v>2</v>
      </c>
    </row>
    <row r="16789" spans="1:2" x14ac:dyDescent="0.2">
      <c r="A16789" t="str">
        <f>"TMPRSS13"</f>
        <v>TMPRSS13</v>
      </c>
      <c r="B16789" t="s">
        <v>2</v>
      </c>
    </row>
    <row r="16790" spans="1:2" x14ac:dyDescent="0.2">
      <c r="A16790" t="str">
        <f>"TMPRSS15"</f>
        <v>TMPRSS15</v>
      </c>
      <c r="B16790" t="s">
        <v>7</v>
      </c>
    </row>
    <row r="16791" spans="1:2" x14ac:dyDescent="0.2">
      <c r="A16791" t="str">
        <f>"TMPRSS2"</f>
        <v>TMPRSS2</v>
      </c>
      <c r="B16791" t="s">
        <v>3</v>
      </c>
    </row>
    <row r="16792" spans="1:2" x14ac:dyDescent="0.2">
      <c r="A16792" t="str">
        <f>"TMPRSS3"</f>
        <v>TMPRSS3</v>
      </c>
      <c r="B16792" t="s">
        <v>2</v>
      </c>
    </row>
    <row r="16793" spans="1:2" x14ac:dyDescent="0.2">
      <c r="A16793" t="str">
        <f>"TMPRSS4"</f>
        <v>TMPRSS4</v>
      </c>
      <c r="B16793" t="s">
        <v>2</v>
      </c>
    </row>
    <row r="16794" spans="1:2" x14ac:dyDescent="0.2">
      <c r="A16794" t="str">
        <f>"TMPRSS5"</f>
        <v>TMPRSS5</v>
      </c>
      <c r="B16794" t="s">
        <v>2</v>
      </c>
    </row>
    <row r="16795" spans="1:2" x14ac:dyDescent="0.2">
      <c r="A16795" t="str">
        <f>"TMPRSS6"</f>
        <v>TMPRSS6</v>
      </c>
      <c r="B16795" t="s">
        <v>2</v>
      </c>
    </row>
    <row r="16796" spans="1:2" x14ac:dyDescent="0.2">
      <c r="A16796" t="str">
        <f>"TMPRSS7"</f>
        <v>TMPRSS7</v>
      </c>
      <c r="B16796" t="s">
        <v>2</v>
      </c>
    </row>
    <row r="16797" spans="1:2" x14ac:dyDescent="0.2">
      <c r="A16797" t="str">
        <f>"TMPRSS9"</f>
        <v>TMPRSS9</v>
      </c>
      <c r="B16797" t="s">
        <v>2</v>
      </c>
    </row>
    <row r="16798" spans="1:2" x14ac:dyDescent="0.2">
      <c r="A16798" t="str">
        <f>"TMSB10"</f>
        <v>TMSB10</v>
      </c>
      <c r="B16798" t="s">
        <v>6</v>
      </c>
    </row>
    <row r="16799" spans="1:2" x14ac:dyDescent="0.2">
      <c r="A16799" t="str">
        <f>"TMSB15A"</f>
        <v>TMSB15A</v>
      </c>
      <c r="B16799" t="s">
        <v>3</v>
      </c>
    </row>
    <row r="16800" spans="1:2" x14ac:dyDescent="0.2">
      <c r="A16800" t="str">
        <f>"TMSB15B"</f>
        <v>TMSB15B</v>
      </c>
      <c r="B16800" t="s">
        <v>3</v>
      </c>
    </row>
    <row r="16801" spans="1:2" x14ac:dyDescent="0.2">
      <c r="A16801" t="str">
        <f>"TMSB4X"</f>
        <v>TMSB4X</v>
      </c>
      <c r="B16801" t="s">
        <v>4</v>
      </c>
    </row>
    <row r="16802" spans="1:2" x14ac:dyDescent="0.2">
      <c r="A16802" t="str">
        <f>"TMSB4Y"</f>
        <v>TMSB4Y</v>
      </c>
      <c r="B16802" t="s">
        <v>6</v>
      </c>
    </row>
    <row r="16803" spans="1:2" x14ac:dyDescent="0.2">
      <c r="A16803" t="str">
        <f>"TMTC1"</f>
        <v>TMTC1</v>
      </c>
      <c r="B16803" t="s">
        <v>6</v>
      </c>
    </row>
    <row r="16804" spans="1:2" x14ac:dyDescent="0.2">
      <c r="A16804" t="str">
        <f>"TMTC2"</f>
        <v>TMTC2</v>
      </c>
      <c r="B16804" t="s">
        <v>2</v>
      </c>
    </row>
    <row r="16805" spans="1:2" x14ac:dyDescent="0.2">
      <c r="A16805" t="str">
        <f>"TMTC3"</f>
        <v>TMTC3</v>
      </c>
      <c r="B16805" t="s">
        <v>2</v>
      </c>
    </row>
    <row r="16806" spans="1:2" x14ac:dyDescent="0.2">
      <c r="A16806" t="str">
        <f>"TMTC4"</f>
        <v>TMTC4</v>
      </c>
      <c r="B16806" t="s">
        <v>5</v>
      </c>
    </row>
    <row r="16807" spans="1:2" x14ac:dyDescent="0.2">
      <c r="A16807" t="str">
        <f>"TMUB1"</f>
        <v>TMUB1</v>
      </c>
      <c r="B16807" t="s">
        <v>2</v>
      </c>
    </row>
    <row r="16808" spans="1:2" x14ac:dyDescent="0.2">
      <c r="A16808" t="str">
        <f>"TMUB2"</f>
        <v>TMUB2</v>
      </c>
      <c r="B16808" t="s">
        <v>2</v>
      </c>
    </row>
    <row r="16809" spans="1:2" x14ac:dyDescent="0.2">
      <c r="A16809" t="str">
        <f>"TMX1"</f>
        <v>TMX1</v>
      </c>
      <c r="B16809" t="s">
        <v>2</v>
      </c>
    </row>
    <row r="16810" spans="1:2" x14ac:dyDescent="0.2">
      <c r="A16810" t="str">
        <f>"TMX2"</f>
        <v>TMX2</v>
      </c>
      <c r="B16810" t="s">
        <v>6</v>
      </c>
    </row>
    <row r="16811" spans="1:2" x14ac:dyDescent="0.2">
      <c r="A16811" t="str">
        <f>"TMX3"</f>
        <v>TMX3</v>
      </c>
      <c r="B16811" t="s">
        <v>6</v>
      </c>
    </row>
    <row r="16812" spans="1:2" x14ac:dyDescent="0.2">
      <c r="A16812" t="str">
        <f>"TMX4"</f>
        <v>TMX4</v>
      </c>
      <c r="B16812" t="s">
        <v>5</v>
      </c>
    </row>
    <row r="16813" spans="1:2" x14ac:dyDescent="0.2">
      <c r="A16813" t="str">
        <f>"TNC"</f>
        <v>TNC</v>
      </c>
      <c r="B16813" t="s">
        <v>3</v>
      </c>
    </row>
    <row r="16814" spans="1:2" x14ac:dyDescent="0.2">
      <c r="A16814" t="str">
        <f>"TNF"</f>
        <v>TNF</v>
      </c>
      <c r="B16814" t="s">
        <v>3</v>
      </c>
    </row>
    <row r="16815" spans="1:2" x14ac:dyDescent="0.2">
      <c r="A16815" t="str">
        <f>"TNFAIP1"</f>
        <v>TNFAIP1</v>
      </c>
      <c r="B16815" t="s">
        <v>2</v>
      </c>
    </row>
    <row r="16816" spans="1:2" x14ac:dyDescent="0.2">
      <c r="A16816" t="str">
        <f>"TNFAIP2"</f>
        <v>TNFAIP2</v>
      </c>
      <c r="B16816" t="s">
        <v>3</v>
      </c>
    </row>
    <row r="16817" spans="1:2" x14ac:dyDescent="0.2">
      <c r="A16817" t="str">
        <f>"TNFAIP3"</f>
        <v>TNFAIP3</v>
      </c>
      <c r="B16817" t="s">
        <v>3</v>
      </c>
    </row>
    <row r="16818" spans="1:2" x14ac:dyDescent="0.2">
      <c r="A16818" t="str">
        <f>"TNFAIP6"</f>
        <v>TNFAIP6</v>
      </c>
      <c r="B16818" t="s">
        <v>3</v>
      </c>
    </row>
    <row r="16819" spans="1:2" x14ac:dyDescent="0.2">
      <c r="A16819" t="str">
        <f>"TNFAIP8"</f>
        <v>TNFAIP8</v>
      </c>
      <c r="B16819" t="s">
        <v>2</v>
      </c>
    </row>
    <row r="16820" spans="1:2" x14ac:dyDescent="0.2">
      <c r="A16820" t="str">
        <f>"TNFAIP8L1"</f>
        <v>TNFAIP8L1</v>
      </c>
      <c r="B16820" t="s">
        <v>2</v>
      </c>
    </row>
    <row r="16821" spans="1:2" x14ac:dyDescent="0.2">
      <c r="A16821" t="str">
        <f>"TNFAIP8L2"</f>
        <v>TNFAIP8L2</v>
      </c>
      <c r="B16821" t="s">
        <v>4</v>
      </c>
    </row>
    <row r="16822" spans="1:2" x14ac:dyDescent="0.2">
      <c r="A16822" t="str">
        <f>"TNFAIP8L2-SCNM1"</f>
        <v>TNFAIP8L2-SCNM1</v>
      </c>
      <c r="B16822" t="s">
        <v>4</v>
      </c>
    </row>
    <row r="16823" spans="1:2" x14ac:dyDescent="0.2">
      <c r="A16823" t="str">
        <f>"TNFAIP8L3"</f>
        <v>TNFAIP8L3</v>
      </c>
      <c r="B16823" t="s">
        <v>4</v>
      </c>
    </row>
    <row r="16824" spans="1:2" x14ac:dyDescent="0.2">
      <c r="A16824" t="str">
        <f>"TNFRSF10A"</f>
        <v>TNFRSF10A</v>
      </c>
      <c r="B16824" t="s">
        <v>3</v>
      </c>
    </row>
    <row r="16825" spans="1:2" x14ac:dyDescent="0.2">
      <c r="A16825" t="str">
        <f>"TNFRSF10B"</f>
        <v>TNFRSF10B</v>
      </c>
      <c r="B16825" t="s">
        <v>3</v>
      </c>
    </row>
    <row r="16826" spans="1:2" x14ac:dyDescent="0.2">
      <c r="A16826" t="str">
        <f>"TNFRSF10C"</f>
        <v>TNFRSF10C</v>
      </c>
      <c r="B16826" t="s">
        <v>3</v>
      </c>
    </row>
    <row r="16827" spans="1:2" x14ac:dyDescent="0.2">
      <c r="A16827" t="str">
        <f>"TNFRSF10D"</f>
        <v>TNFRSF10D</v>
      </c>
      <c r="B16827" t="s">
        <v>3</v>
      </c>
    </row>
    <row r="16828" spans="1:2" x14ac:dyDescent="0.2">
      <c r="A16828" t="str">
        <f>"TNFRSF11A"</f>
        <v>TNFRSF11A</v>
      </c>
      <c r="B16828" t="s">
        <v>3</v>
      </c>
    </row>
    <row r="16829" spans="1:2" x14ac:dyDescent="0.2">
      <c r="A16829" t="str">
        <f>"TNFRSF11B"</f>
        <v>TNFRSF11B</v>
      </c>
      <c r="B16829" t="s">
        <v>3</v>
      </c>
    </row>
    <row r="16830" spans="1:2" x14ac:dyDescent="0.2">
      <c r="A16830" t="str">
        <f>"TNFRSF12A"</f>
        <v>TNFRSF12A</v>
      </c>
      <c r="B16830" t="s">
        <v>3</v>
      </c>
    </row>
    <row r="16831" spans="1:2" x14ac:dyDescent="0.2">
      <c r="A16831" t="str">
        <f>"TNFRSF13B"</f>
        <v>TNFRSF13B</v>
      </c>
      <c r="B16831" t="s">
        <v>5</v>
      </c>
    </row>
    <row r="16832" spans="1:2" x14ac:dyDescent="0.2">
      <c r="A16832" t="str">
        <f>"TNFRSF13C"</f>
        <v>TNFRSF13C</v>
      </c>
      <c r="B16832" t="s">
        <v>5</v>
      </c>
    </row>
    <row r="16833" spans="1:2" x14ac:dyDescent="0.2">
      <c r="A16833" t="str">
        <f>"TNFRSF14"</f>
        <v>TNFRSF14</v>
      </c>
      <c r="B16833" t="s">
        <v>3</v>
      </c>
    </row>
    <row r="16834" spans="1:2" x14ac:dyDescent="0.2">
      <c r="A16834" t="str">
        <f>"TNFRSF17"</f>
        <v>TNFRSF17</v>
      </c>
      <c r="B16834" t="s">
        <v>3</v>
      </c>
    </row>
    <row r="16835" spans="1:2" x14ac:dyDescent="0.2">
      <c r="A16835" t="str">
        <f>"TNFRSF18"</f>
        <v>TNFRSF18</v>
      </c>
      <c r="B16835" t="s">
        <v>3</v>
      </c>
    </row>
    <row r="16836" spans="1:2" x14ac:dyDescent="0.2">
      <c r="A16836" t="str">
        <f>"TNFRSF19"</f>
        <v>TNFRSF19</v>
      </c>
      <c r="B16836" t="s">
        <v>3</v>
      </c>
    </row>
    <row r="16837" spans="1:2" x14ac:dyDescent="0.2">
      <c r="A16837" t="str">
        <f>"TNFRSF1A"</f>
        <v>TNFRSF1A</v>
      </c>
      <c r="B16837" t="s">
        <v>3</v>
      </c>
    </row>
    <row r="16838" spans="1:2" x14ac:dyDescent="0.2">
      <c r="A16838" t="str">
        <f>"TNFRSF1B"</f>
        <v>TNFRSF1B</v>
      </c>
      <c r="B16838" t="s">
        <v>3</v>
      </c>
    </row>
    <row r="16839" spans="1:2" x14ac:dyDescent="0.2">
      <c r="A16839" t="str">
        <f>"TNFRSF21"</f>
        <v>TNFRSF21</v>
      </c>
      <c r="B16839" t="s">
        <v>3</v>
      </c>
    </row>
    <row r="16840" spans="1:2" x14ac:dyDescent="0.2">
      <c r="A16840" t="str">
        <f>"TNFRSF25"</f>
        <v>TNFRSF25</v>
      </c>
      <c r="B16840" t="s">
        <v>3</v>
      </c>
    </row>
    <row r="16841" spans="1:2" x14ac:dyDescent="0.2">
      <c r="A16841" t="str">
        <f>"TNFRSF4"</f>
        <v>TNFRSF4</v>
      </c>
      <c r="B16841" t="s">
        <v>3</v>
      </c>
    </row>
    <row r="16842" spans="1:2" x14ac:dyDescent="0.2">
      <c r="A16842" t="str">
        <f>"TNFRSF6B"</f>
        <v>TNFRSF6B</v>
      </c>
      <c r="B16842" t="s">
        <v>3</v>
      </c>
    </row>
    <row r="16843" spans="1:2" x14ac:dyDescent="0.2">
      <c r="A16843" t="str">
        <f>"TNFRSF8"</f>
        <v>TNFRSF8</v>
      </c>
      <c r="B16843" t="s">
        <v>3</v>
      </c>
    </row>
    <row r="16844" spans="1:2" x14ac:dyDescent="0.2">
      <c r="A16844" t="str">
        <f>"TNFRSF9"</f>
        <v>TNFRSF9</v>
      </c>
      <c r="B16844" t="s">
        <v>3</v>
      </c>
    </row>
    <row r="16845" spans="1:2" x14ac:dyDescent="0.2">
      <c r="A16845" t="str">
        <f>"TNFSF10"</f>
        <v>TNFSF10</v>
      </c>
      <c r="B16845" t="s">
        <v>3</v>
      </c>
    </row>
    <row r="16846" spans="1:2" x14ac:dyDescent="0.2">
      <c r="A16846" t="str">
        <f>"TNFSF11"</f>
        <v>TNFSF11</v>
      </c>
      <c r="B16846" t="s">
        <v>7</v>
      </c>
    </row>
    <row r="16847" spans="1:2" x14ac:dyDescent="0.2">
      <c r="A16847" t="str">
        <f>"TNFSF12"</f>
        <v>TNFSF12</v>
      </c>
      <c r="B16847" t="s">
        <v>3</v>
      </c>
    </row>
    <row r="16848" spans="1:2" x14ac:dyDescent="0.2">
      <c r="A16848" t="str">
        <f>"TNFSF12-TNFSF13"</f>
        <v>TNFSF12-TNFSF13</v>
      </c>
      <c r="B16848" t="s">
        <v>4</v>
      </c>
    </row>
    <row r="16849" spans="1:2" x14ac:dyDescent="0.2">
      <c r="A16849" t="str">
        <f>"TNFSF13"</f>
        <v>TNFSF13</v>
      </c>
      <c r="B16849" t="s">
        <v>3</v>
      </c>
    </row>
    <row r="16850" spans="1:2" x14ac:dyDescent="0.2">
      <c r="A16850" t="str">
        <f>"TNFSF13B"</f>
        <v>TNFSF13B</v>
      </c>
      <c r="B16850" t="s">
        <v>7</v>
      </c>
    </row>
    <row r="16851" spans="1:2" x14ac:dyDescent="0.2">
      <c r="A16851" t="str">
        <f>"TNFSF14"</f>
        <v>TNFSF14</v>
      </c>
      <c r="B16851" t="s">
        <v>3</v>
      </c>
    </row>
    <row r="16852" spans="1:2" x14ac:dyDescent="0.2">
      <c r="A16852" t="str">
        <f>"TNFSF15"</f>
        <v>TNFSF15</v>
      </c>
      <c r="B16852" t="s">
        <v>3</v>
      </c>
    </row>
    <row r="16853" spans="1:2" x14ac:dyDescent="0.2">
      <c r="A16853" t="str">
        <f>"TNFSF18"</f>
        <v>TNFSF18</v>
      </c>
      <c r="B16853" t="s">
        <v>3</v>
      </c>
    </row>
    <row r="16854" spans="1:2" x14ac:dyDescent="0.2">
      <c r="A16854" t="str">
        <f>"TNFSF4"</f>
        <v>TNFSF4</v>
      </c>
      <c r="B16854" t="s">
        <v>3</v>
      </c>
    </row>
    <row r="16855" spans="1:2" x14ac:dyDescent="0.2">
      <c r="A16855" t="str">
        <f>"TNFSF8"</f>
        <v>TNFSF8</v>
      </c>
      <c r="B16855" t="s">
        <v>3</v>
      </c>
    </row>
    <row r="16856" spans="1:2" x14ac:dyDescent="0.2">
      <c r="A16856" t="str">
        <f>"TNFSF9"</f>
        <v>TNFSF9</v>
      </c>
      <c r="B16856" t="s">
        <v>3</v>
      </c>
    </row>
    <row r="16857" spans="1:2" x14ac:dyDescent="0.2">
      <c r="A16857" t="str">
        <f>"TNIK"</f>
        <v>TNIK</v>
      </c>
      <c r="B16857" t="s">
        <v>7</v>
      </c>
    </row>
    <row r="16858" spans="1:2" x14ac:dyDescent="0.2">
      <c r="A16858" t="str">
        <f>"TNIP1"</f>
        <v>TNIP1</v>
      </c>
      <c r="B16858" t="s">
        <v>8</v>
      </c>
    </row>
    <row r="16859" spans="1:2" x14ac:dyDescent="0.2">
      <c r="A16859" t="str">
        <f>"TNIP2"</f>
        <v>TNIP2</v>
      </c>
      <c r="B16859" t="s">
        <v>4</v>
      </c>
    </row>
    <row r="16860" spans="1:2" x14ac:dyDescent="0.2">
      <c r="A16860" t="str">
        <f>"TNIP3"</f>
        <v>TNIP3</v>
      </c>
      <c r="B16860" t="s">
        <v>4</v>
      </c>
    </row>
    <row r="16861" spans="1:2" x14ac:dyDescent="0.2">
      <c r="A16861" t="str">
        <f>"TNK1"</f>
        <v>TNK1</v>
      </c>
      <c r="B16861" t="s">
        <v>7</v>
      </c>
    </row>
    <row r="16862" spans="1:2" x14ac:dyDescent="0.2">
      <c r="A16862" t="str">
        <f>"TNK2"</f>
        <v>TNK2</v>
      </c>
      <c r="B16862" t="s">
        <v>7</v>
      </c>
    </row>
    <row r="16863" spans="1:2" x14ac:dyDescent="0.2">
      <c r="A16863" t="str">
        <f>"TNKS"</f>
        <v>TNKS</v>
      </c>
      <c r="B16863" t="s">
        <v>6</v>
      </c>
    </row>
    <row r="16864" spans="1:2" x14ac:dyDescent="0.2">
      <c r="A16864" t="str">
        <f>"TNKS1BP1"</f>
        <v>TNKS1BP1</v>
      </c>
      <c r="B16864" t="s">
        <v>4</v>
      </c>
    </row>
    <row r="16865" spans="1:2" x14ac:dyDescent="0.2">
      <c r="A16865" t="str">
        <f>"TNKS2"</f>
        <v>TNKS2</v>
      </c>
      <c r="B16865" t="s">
        <v>3</v>
      </c>
    </row>
    <row r="16866" spans="1:2" x14ac:dyDescent="0.2">
      <c r="A16866" t="str">
        <f>"TNMD"</f>
        <v>TNMD</v>
      </c>
      <c r="B16866" t="s">
        <v>5</v>
      </c>
    </row>
    <row r="16867" spans="1:2" x14ac:dyDescent="0.2">
      <c r="A16867" t="str">
        <f>"TNN"</f>
        <v>TNN</v>
      </c>
      <c r="B16867" t="s">
        <v>3</v>
      </c>
    </row>
    <row r="16868" spans="1:2" x14ac:dyDescent="0.2">
      <c r="A16868" t="str">
        <f>"TNNC1"</f>
        <v>TNNC1</v>
      </c>
      <c r="B16868" t="s">
        <v>7</v>
      </c>
    </row>
    <row r="16869" spans="1:2" x14ac:dyDescent="0.2">
      <c r="A16869" t="str">
        <f>"TNNC2"</f>
        <v>TNNC2</v>
      </c>
      <c r="B16869" t="s">
        <v>7</v>
      </c>
    </row>
    <row r="16870" spans="1:2" x14ac:dyDescent="0.2">
      <c r="A16870" t="str">
        <f>"TNNI1"</f>
        <v>TNNI1</v>
      </c>
      <c r="B16870" t="s">
        <v>6</v>
      </c>
    </row>
    <row r="16871" spans="1:2" x14ac:dyDescent="0.2">
      <c r="A16871" t="str">
        <f>"TNNI2"</f>
        <v>TNNI2</v>
      </c>
      <c r="B16871" t="s">
        <v>2</v>
      </c>
    </row>
    <row r="16872" spans="1:2" x14ac:dyDescent="0.2">
      <c r="A16872" t="str">
        <f>"TNNI3"</f>
        <v>TNNI3</v>
      </c>
      <c r="B16872" t="s">
        <v>7</v>
      </c>
    </row>
    <row r="16873" spans="1:2" x14ac:dyDescent="0.2">
      <c r="A16873" t="str">
        <f>"TNNI3K"</f>
        <v>TNNI3K</v>
      </c>
      <c r="B16873" t="s">
        <v>7</v>
      </c>
    </row>
    <row r="16874" spans="1:2" x14ac:dyDescent="0.2">
      <c r="A16874" t="str">
        <f>"TNNT1"</f>
        <v>TNNT1</v>
      </c>
      <c r="B16874" t="s">
        <v>6</v>
      </c>
    </row>
    <row r="16875" spans="1:2" x14ac:dyDescent="0.2">
      <c r="A16875" t="str">
        <f>"TNNT2"</f>
        <v>TNNT2</v>
      </c>
      <c r="B16875" t="s">
        <v>6</v>
      </c>
    </row>
    <row r="16876" spans="1:2" x14ac:dyDescent="0.2">
      <c r="A16876" t="str">
        <f>"TNNT3"</f>
        <v>TNNT3</v>
      </c>
      <c r="B16876" t="s">
        <v>6</v>
      </c>
    </row>
    <row r="16877" spans="1:2" x14ac:dyDescent="0.2">
      <c r="A16877" t="str">
        <f>"TNP1"</f>
        <v>TNP1</v>
      </c>
      <c r="B16877" t="s">
        <v>8</v>
      </c>
    </row>
    <row r="16878" spans="1:2" x14ac:dyDescent="0.2">
      <c r="A16878" t="str">
        <f>"TNP2"</f>
        <v>TNP2</v>
      </c>
      <c r="B16878" t="s">
        <v>8</v>
      </c>
    </row>
    <row r="16879" spans="1:2" x14ac:dyDescent="0.2">
      <c r="A16879" t="str">
        <f>"TNPO1"</f>
        <v>TNPO1</v>
      </c>
      <c r="B16879" t="s">
        <v>6</v>
      </c>
    </row>
    <row r="16880" spans="1:2" x14ac:dyDescent="0.2">
      <c r="A16880" t="str">
        <f>"TNPO2"</f>
        <v>TNPO2</v>
      </c>
      <c r="B16880" t="s">
        <v>4</v>
      </c>
    </row>
    <row r="16881" spans="1:2" x14ac:dyDescent="0.2">
      <c r="A16881" t="str">
        <f>"TNPO3"</f>
        <v>TNPO3</v>
      </c>
      <c r="B16881" t="s">
        <v>6</v>
      </c>
    </row>
    <row r="16882" spans="1:2" x14ac:dyDescent="0.2">
      <c r="A16882" t="str">
        <f>"TNR"</f>
        <v>TNR</v>
      </c>
      <c r="B16882" t="s">
        <v>6</v>
      </c>
    </row>
    <row r="16883" spans="1:2" x14ac:dyDescent="0.2">
      <c r="A16883" t="str">
        <f>"TNRC18"</f>
        <v>TNRC18</v>
      </c>
      <c r="B16883" t="s">
        <v>8</v>
      </c>
    </row>
    <row r="16884" spans="1:2" x14ac:dyDescent="0.2">
      <c r="A16884" t="str">
        <f>"TNRC6A"</f>
        <v>TNRC6A</v>
      </c>
      <c r="B16884" t="s">
        <v>8</v>
      </c>
    </row>
    <row r="16885" spans="1:2" x14ac:dyDescent="0.2">
      <c r="A16885" t="str">
        <f>"TNRC6B"</f>
        <v>TNRC6B</v>
      </c>
      <c r="B16885" t="s">
        <v>8</v>
      </c>
    </row>
    <row r="16886" spans="1:2" x14ac:dyDescent="0.2">
      <c r="A16886" t="str">
        <f>"TNRC6C"</f>
        <v>TNRC6C</v>
      </c>
      <c r="B16886" t="s">
        <v>2</v>
      </c>
    </row>
    <row r="16887" spans="1:2" x14ac:dyDescent="0.2">
      <c r="A16887" t="str">
        <f>"TNS1"</f>
        <v>TNS1</v>
      </c>
      <c r="B16887" t="s">
        <v>2</v>
      </c>
    </row>
    <row r="16888" spans="1:2" x14ac:dyDescent="0.2">
      <c r="A16888" t="str">
        <f>"TNS3"</f>
        <v>TNS3</v>
      </c>
      <c r="B16888" t="s">
        <v>4</v>
      </c>
    </row>
    <row r="16889" spans="1:2" x14ac:dyDescent="0.2">
      <c r="A16889" t="str">
        <f>"TNS4"</f>
        <v>TNS4</v>
      </c>
      <c r="B16889" t="s">
        <v>8</v>
      </c>
    </row>
    <row r="16890" spans="1:2" x14ac:dyDescent="0.2">
      <c r="A16890" t="str">
        <f>"TNXB"</f>
        <v>TNXB</v>
      </c>
      <c r="B16890" t="s">
        <v>6</v>
      </c>
    </row>
    <row r="16891" spans="1:2" x14ac:dyDescent="0.2">
      <c r="A16891" t="str">
        <f>"TOB1"</f>
        <v>TOB1</v>
      </c>
      <c r="B16891" t="s">
        <v>4</v>
      </c>
    </row>
    <row r="16892" spans="1:2" x14ac:dyDescent="0.2">
      <c r="A16892" t="str">
        <f>"TOB2"</f>
        <v>TOB2</v>
      </c>
      <c r="B16892" t="s">
        <v>4</v>
      </c>
    </row>
    <row r="16893" spans="1:2" x14ac:dyDescent="0.2">
      <c r="A16893" t="str">
        <f>"TOE1"</f>
        <v>TOE1</v>
      </c>
      <c r="B16893" t="s">
        <v>8</v>
      </c>
    </row>
    <row r="16894" spans="1:2" x14ac:dyDescent="0.2">
      <c r="A16894" t="str">
        <f>"TOLLIP"</f>
        <v>TOLLIP</v>
      </c>
      <c r="B16894" t="s">
        <v>2</v>
      </c>
    </row>
    <row r="16895" spans="1:2" x14ac:dyDescent="0.2">
      <c r="A16895" t="str">
        <f>"TOM1"</f>
        <v>TOM1</v>
      </c>
      <c r="B16895" t="s">
        <v>2</v>
      </c>
    </row>
    <row r="16896" spans="1:2" x14ac:dyDescent="0.2">
      <c r="A16896" t="str">
        <f>"TOM1L1"</f>
        <v>TOM1L1</v>
      </c>
      <c r="B16896" t="s">
        <v>2</v>
      </c>
    </row>
    <row r="16897" spans="1:2" x14ac:dyDescent="0.2">
      <c r="A16897" t="str">
        <f>"TOM1L2"</f>
        <v>TOM1L2</v>
      </c>
      <c r="B16897" t="s">
        <v>2</v>
      </c>
    </row>
    <row r="16898" spans="1:2" x14ac:dyDescent="0.2">
      <c r="A16898" t="str">
        <f>"TOMM20"</f>
        <v>TOMM20</v>
      </c>
      <c r="B16898" t="s">
        <v>6</v>
      </c>
    </row>
    <row r="16899" spans="1:2" x14ac:dyDescent="0.2">
      <c r="A16899" t="str">
        <f>"TOMM20L"</f>
        <v>TOMM20L</v>
      </c>
      <c r="B16899" t="s">
        <v>6</v>
      </c>
    </row>
    <row r="16900" spans="1:2" x14ac:dyDescent="0.2">
      <c r="A16900" t="str">
        <f>"TOMM22"</f>
        <v>TOMM22</v>
      </c>
      <c r="B16900" t="s">
        <v>6</v>
      </c>
    </row>
    <row r="16901" spans="1:2" x14ac:dyDescent="0.2">
      <c r="A16901" t="str">
        <f>"TOMM34"</f>
        <v>TOMM34</v>
      </c>
      <c r="B16901" t="s">
        <v>6</v>
      </c>
    </row>
    <row r="16902" spans="1:2" x14ac:dyDescent="0.2">
      <c r="A16902" t="str">
        <f>"TOMM40"</f>
        <v>TOMM40</v>
      </c>
      <c r="B16902" t="s">
        <v>6</v>
      </c>
    </row>
    <row r="16903" spans="1:2" x14ac:dyDescent="0.2">
      <c r="A16903" t="str">
        <f>"TOMM40L"</f>
        <v>TOMM40L</v>
      </c>
      <c r="B16903" t="s">
        <v>6</v>
      </c>
    </row>
    <row r="16904" spans="1:2" x14ac:dyDescent="0.2">
      <c r="A16904" t="str">
        <f>"TOMM5"</f>
        <v>TOMM5</v>
      </c>
      <c r="B16904" t="s">
        <v>6</v>
      </c>
    </row>
    <row r="16905" spans="1:2" x14ac:dyDescent="0.2">
      <c r="A16905" t="str">
        <f>"TOMM6"</f>
        <v>TOMM6</v>
      </c>
      <c r="B16905" t="s">
        <v>6</v>
      </c>
    </row>
    <row r="16906" spans="1:2" x14ac:dyDescent="0.2">
      <c r="A16906" t="str">
        <f>"TOMM7"</f>
        <v>TOMM7</v>
      </c>
      <c r="B16906" t="s">
        <v>6</v>
      </c>
    </row>
    <row r="16907" spans="1:2" x14ac:dyDescent="0.2">
      <c r="A16907" t="str">
        <f>"TOMM70A"</f>
        <v>TOMM70A</v>
      </c>
      <c r="B16907" t="s">
        <v>6</v>
      </c>
    </row>
    <row r="16908" spans="1:2" x14ac:dyDescent="0.2">
      <c r="A16908" t="str">
        <f>"TONSL"</f>
        <v>TONSL</v>
      </c>
      <c r="B16908" t="s">
        <v>2</v>
      </c>
    </row>
    <row r="16909" spans="1:2" x14ac:dyDescent="0.2">
      <c r="A16909" t="str">
        <f>"TOP1"</f>
        <v>TOP1</v>
      </c>
      <c r="B16909" t="s">
        <v>3</v>
      </c>
    </row>
    <row r="16910" spans="1:2" x14ac:dyDescent="0.2">
      <c r="A16910" t="str">
        <f>"TOP1MT"</f>
        <v>TOP1MT</v>
      </c>
      <c r="B16910" t="s">
        <v>7</v>
      </c>
    </row>
    <row r="16911" spans="1:2" x14ac:dyDescent="0.2">
      <c r="A16911" t="str">
        <f>"TOP2A"</f>
        <v>TOP2A</v>
      </c>
      <c r="B16911" t="s">
        <v>3</v>
      </c>
    </row>
    <row r="16912" spans="1:2" x14ac:dyDescent="0.2">
      <c r="A16912" t="str">
        <f>"TOP2B"</f>
        <v>TOP2B</v>
      </c>
      <c r="B16912" t="s">
        <v>3</v>
      </c>
    </row>
    <row r="16913" spans="1:2" x14ac:dyDescent="0.2">
      <c r="A16913" t="str">
        <f>"TOP3A"</f>
        <v>TOP3A</v>
      </c>
      <c r="B16913" t="s">
        <v>8</v>
      </c>
    </row>
    <row r="16914" spans="1:2" x14ac:dyDescent="0.2">
      <c r="A16914" t="str">
        <f>"TOP3B"</f>
        <v>TOP3B</v>
      </c>
      <c r="B16914" t="s">
        <v>8</v>
      </c>
    </row>
    <row r="16915" spans="1:2" x14ac:dyDescent="0.2">
      <c r="A16915" t="str">
        <f>"TOPAZ1"</f>
        <v>TOPAZ1</v>
      </c>
      <c r="B16915" t="s">
        <v>4</v>
      </c>
    </row>
    <row r="16916" spans="1:2" x14ac:dyDescent="0.2">
      <c r="A16916" t="str">
        <f>"TOPBP1"</f>
        <v>TOPBP1</v>
      </c>
      <c r="B16916" t="s">
        <v>3</v>
      </c>
    </row>
    <row r="16917" spans="1:2" x14ac:dyDescent="0.2">
      <c r="A16917" t="str">
        <f>"TOPORS"</f>
        <v>TOPORS</v>
      </c>
      <c r="B16917" t="s">
        <v>3</v>
      </c>
    </row>
    <row r="16918" spans="1:2" x14ac:dyDescent="0.2">
      <c r="A16918" t="str">
        <f>"TOR1A"</f>
        <v>TOR1A</v>
      </c>
      <c r="B16918" t="s">
        <v>2</v>
      </c>
    </row>
    <row r="16919" spans="1:2" x14ac:dyDescent="0.2">
      <c r="A16919" t="str">
        <f>"TOR1AIP1"</f>
        <v>TOR1AIP1</v>
      </c>
      <c r="B16919" t="s">
        <v>8</v>
      </c>
    </row>
    <row r="16920" spans="1:2" x14ac:dyDescent="0.2">
      <c r="A16920" t="str">
        <f>"TOR1AIP2"</f>
        <v>TOR1AIP2</v>
      </c>
      <c r="B16920" t="s">
        <v>2</v>
      </c>
    </row>
    <row r="16921" spans="1:2" x14ac:dyDescent="0.2">
      <c r="A16921" t="str">
        <f>"TOR1B"</f>
        <v>TOR1B</v>
      </c>
      <c r="B16921" t="s">
        <v>2</v>
      </c>
    </row>
    <row r="16922" spans="1:2" x14ac:dyDescent="0.2">
      <c r="A16922" t="str">
        <f>"TOR2A"</f>
        <v>TOR2A</v>
      </c>
      <c r="B16922" t="s">
        <v>2</v>
      </c>
    </row>
    <row r="16923" spans="1:2" x14ac:dyDescent="0.2">
      <c r="A16923" t="str">
        <f>"TOR3A"</f>
        <v>TOR3A</v>
      </c>
      <c r="B16923" t="s">
        <v>2</v>
      </c>
    </row>
    <row r="16924" spans="1:2" x14ac:dyDescent="0.2">
      <c r="A16924" t="str">
        <f>"TOR4A"</f>
        <v>TOR4A</v>
      </c>
      <c r="B16924" t="s">
        <v>2</v>
      </c>
    </row>
    <row r="16925" spans="1:2" x14ac:dyDescent="0.2">
      <c r="A16925" t="str">
        <f>"TOX"</f>
        <v>TOX</v>
      </c>
      <c r="B16925" t="s">
        <v>8</v>
      </c>
    </row>
    <row r="16926" spans="1:2" x14ac:dyDescent="0.2">
      <c r="A16926" t="str">
        <f>"TOX2"</f>
        <v>TOX2</v>
      </c>
      <c r="B16926" t="s">
        <v>8</v>
      </c>
    </row>
    <row r="16927" spans="1:2" x14ac:dyDescent="0.2">
      <c r="A16927" t="str">
        <f>"TOX3"</f>
        <v>TOX3</v>
      </c>
      <c r="B16927" t="s">
        <v>8</v>
      </c>
    </row>
    <row r="16928" spans="1:2" x14ac:dyDescent="0.2">
      <c r="A16928" t="str">
        <f>"TOX4"</f>
        <v>TOX4</v>
      </c>
      <c r="B16928" t="s">
        <v>8</v>
      </c>
    </row>
    <row r="16929" spans="1:2" x14ac:dyDescent="0.2">
      <c r="A16929" t="str">
        <f>"TP53"</f>
        <v>TP53</v>
      </c>
      <c r="B16929" t="s">
        <v>3</v>
      </c>
    </row>
    <row r="16930" spans="1:2" x14ac:dyDescent="0.2">
      <c r="A16930" t="str">
        <f>"TP53AIP1"</f>
        <v>TP53AIP1</v>
      </c>
      <c r="B16930" t="s">
        <v>3</v>
      </c>
    </row>
    <row r="16931" spans="1:2" x14ac:dyDescent="0.2">
      <c r="A16931" t="str">
        <f>"TP53BP1"</f>
        <v>TP53BP1</v>
      </c>
      <c r="B16931" t="s">
        <v>3</v>
      </c>
    </row>
    <row r="16932" spans="1:2" x14ac:dyDescent="0.2">
      <c r="A16932" t="str">
        <f>"TP53BP2"</f>
        <v>TP53BP2</v>
      </c>
      <c r="B16932" t="s">
        <v>3</v>
      </c>
    </row>
    <row r="16933" spans="1:2" x14ac:dyDescent="0.2">
      <c r="A16933" t="str">
        <f>"TP53I11"</f>
        <v>TP53I11</v>
      </c>
      <c r="B16933" t="s">
        <v>2</v>
      </c>
    </row>
    <row r="16934" spans="1:2" x14ac:dyDescent="0.2">
      <c r="A16934" t="str">
        <f>"TP53I13"</f>
        <v>TP53I13</v>
      </c>
      <c r="B16934" t="s">
        <v>5</v>
      </c>
    </row>
    <row r="16935" spans="1:2" x14ac:dyDescent="0.2">
      <c r="A16935" t="str">
        <f>"TP53I3"</f>
        <v>TP53I3</v>
      </c>
      <c r="B16935" t="s">
        <v>3</v>
      </c>
    </row>
    <row r="16936" spans="1:2" x14ac:dyDescent="0.2">
      <c r="A16936" t="str">
        <f>"TP53INP1"</f>
        <v>TP53INP1</v>
      </c>
      <c r="B16936" t="s">
        <v>3</v>
      </c>
    </row>
    <row r="16937" spans="1:2" x14ac:dyDescent="0.2">
      <c r="A16937" t="str">
        <f>"TP53INP2"</f>
        <v>TP53INP2</v>
      </c>
      <c r="B16937" t="s">
        <v>4</v>
      </c>
    </row>
    <row r="16938" spans="1:2" x14ac:dyDescent="0.2">
      <c r="A16938" t="str">
        <f>"TP53RK"</f>
        <v>TP53RK</v>
      </c>
      <c r="B16938" t="s">
        <v>7</v>
      </c>
    </row>
    <row r="16939" spans="1:2" x14ac:dyDescent="0.2">
      <c r="A16939" t="str">
        <f>"TP53TG3C"</f>
        <v>TP53TG3C</v>
      </c>
      <c r="B16939" t="s">
        <v>4</v>
      </c>
    </row>
    <row r="16940" spans="1:2" x14ac:dyDescent="0.2">
      <c r="A16940" t="str">
        <f>"TP53TG5"</f>
        <v>TP53TG5</v>
      </c>
      <c r="B16940" t="s">
        <v>4</v>
      </c>
    </row>
    <row r="16941" spans="1:2" x14ac:dyDescent="0.2">
      <c r="A16941" t="str">
        <f>"TP63"</f>
        <v>TP63</v>
      </c>
      <c r="B16941" t="s">
        <v>3</v>
      </c>
    </row>
    <row r="16942" spans="1:2" x14ac:dyDescent="0.2">
      <c r="A16942" t="str">
        <f>"TP73"</f>
        <v>TP73</v>
      </c>
      <c r="B16942" t="s">
        <v>3</v>
      </c>
    </row>
    <row r="16943" spans="1:2" x14ac:dyDescent="0.2">
      <c r="A16943" t="str">
        <f>"TPBG"</f>
        <v>TPBG</v>
      </c>
      <c r="B16943" t="s">
        <v>5</v>
      </c>
    </row>
    <row r="16944" spans="1:2" x14ac:dyDescent="0.2">
      <c r="A16944" t="str">
        <f>"TPBGL"</f>
        <v>TPBGL</v>
      </c>
      <c r="B16944" t="s">
        <v>5</v>
      </c>
    </row>
    <row r="16945" spans="1:2" x14ac:dyDescent="0.2">
      <c r="A16945" t="str">
        <f>"TPCN1"</f>
        <v>TPCN1</v>
      </c>
      <c r="B16945" t="s">
        <v>5</v>
      </c>
    </row>
    <row r="16946" spans="1:2" x14ac:dyDescent="0.2">
      <c r="A16946" t="str">
        <f>"TPCN2"</f>
        <v>TPCN2</v>
      </c>
      <c r="B16946" t="s">
        <v>5</v>
      </c>
    </row>
    <row r="16947" spans="1:2" x14ac:dyDescent="0.2">
      <c r="A16947" t="str">
        <f>"TPD52"</f>
        <v>TPD52</v>
      </c>
      <c r="B16947" t="s">
        <v>6</v>
      </c>
    </row>
    <row r="16948" spans="1:2" x14ac:dyDescent="0.2">
      <c r="A16948" t="str">
        <f>"TPD52L1"</f>
        <v>TPD52L1</v>
      </c>
      <c r="B16948" t="s">
        <v>3</v>
      </c>
    </row>
    <row r="16949" spans="1:2" x14ac:dyDescent="0.2">
      <c r="A16949" t="str">
        <f>"TPD52L2"</f>
        <v>TPD52L2</v>
      </c>
      <c r="B16949" t="s">
        <v>3</v>
      </c>
    </row>
    <row r="16950" spans="1:2" x14ac:dyDescent="0.2">
      <c r="A16950" t="str">
        <f>"TPD52L3"</f>
        <v>TPD52L3</v>
      </c>
      <c r="B16950" t="s">
        <v>7</v>
      </c>
    </row>
    <row r="16951" spans="1:2" x14ac:dyDescent="0.2">
      <c r="A16951" t="str">
        <f>"TPGS1"</f>
        <v>TPGS1</v>
      </c>
      <c r="B16951" t="s">
        <v>6</v>
      </c>
    </row>
    <row r="16952" spans="1:2" x14ac:dyDescent="0.2">
      <c r="A16952" t="str">
        <f>"TPGS2"</f>
        <v>TPGS2</v>
      </c>
      <c r="B16952" t="s">
        <v>6</v>
      </c>
    </row>
    <row r="16953" spans="1:2" x14ac:dyDescent="0.2">
      <c r="A16953" t="str">
        <f>"TPH1"</f>
        <v>TPH1</v>
      </c>
      <c r="B16953" t="s">
        <v>7</v>
      </c>
    </row>
    <row r="16954" spans="1:2" x14ac:dyDescent="0.2">
      <c r="A16954" t="str">
        <f>"TPH2"</f>
        <v>TPH2</v>
      </c>
      <c r="B16954" t="s">
        <v>2</v>
      </c>
    </row>
    <row r="16955" spans="1:2" x14ac:dyDescent="0.2">
      <c r="A16955" t="str">
        <f>"TPI1"</f>
        <v>TPI1</v>
      </c>
      <c r="B16955" t="s">
        <v>7</v>
      </c>
    </row>
    <row r="16956" spans="1:2" x14ac:dyDescent="0.2">
      <c r="A16956" t="str">
        <f>"TPK1"</f>
        <v>TPK1</v>
      </c>
      <c r="B16956" t="s">
        <v>7</v>
      </c>
    </row>
    <row r="16957" spans="1:2" x14ac:dyDescent="0.2">
      <c r="A16957" t="str">
        <f>"TPM1"</f>
        <v>TPM1</v>
      </c>
      <c r="B16957" t="s">
        <v>6</v>
      </c>
    </row>
    <row r="16958" spans="1:2" x14ac:dyDescent="0.2">
      <c r="A16958" t="str">
        <f>"TPM2"</f>
        <v>TPM2</v>
      </c>
      <c r="B16958" t="s">
        <v>6</v>
      </c>
    </row>
    <row r="16959" spans="1:2" x14ac:dyDescent="0.2">
      <c r="A16959" t="str">
        <f>"TPM3"</f>
        <v>TPM3</v>
      </c>
      <c r="B16959" t="s">
        <v>3</v>
      </c>
    </row>
    <row r="16960" spans="1:2" x14ac:dyDescent="0.2">
      <c r="A16960" t="str">
        <f>"TPM4"</f>
        <v>TPM4</v>
      </c>
      <c r="B16960" t="s">
        <v>3</v>
      </c>
    </row>
    <row r="16961" spans="1:2" x14ac:dyDescent="0.2">
      <c r="A16961" t="str">
        <f>"TPMT"</f>
        <v>TPMT</v>
      </c>
      <c r="B16961" t="s">
        <v>7</v>
      </c>
    </row>
    <row r="16962" spans="1:2" x14ac:dyDescent="0.2">
      <c r="A16962" t="str">
        <f>"TPO"</f>
        <v>TPO</v>
      </c>
      <c r="B16962" t="s">
        <v>3</v>
      </c>
    </row>
    <row r="16963" spans="1:2" x14ac:dyDescent="0.2">
      <c r="A16963" t="str">
        <f>"TPP1"</f>
        <v>TPP1</v>
      </c>
      <c r="B16963" t="s">
        <v>2</v>
      </c>
    </row>
    <row r="16964" spans="1:2" x14ac:dyDescent="0.2">
      <c r="A16964" t="str">
        <f>"TPP2"</f>
        <v>TPP2</v>
      </c>
      <c r="B16964" t="s">
        <v>2</v>
      </c>
    </row>
    <row r="16965" spans="1:2" x14ac:dyDescent="0.2">
      <c r="A16965" t="str">
        <f>"TPPP"</f>
        <v>TPPP</v>
      </c>
      <c r="B16965" t="s">
        <v>2</v>
      </c>
    </row>
    <row r="16966" spans="1:2" x14ac:dyDescent="0.2">
      <c r="A16966" t="str">
        <f>"TPPP2"</f>
        <v>TPPP2</v>
      </c>
      <c r="B16966" t="s">
        <v>3</v>
      </c>
    </row>
    <row r="16967" spans="1:2" x14ac:dyDescent="0.2">
      <c r="A16967" t="str">
        <f>"TPPP3"</f>
        <v>TPPP3</v>
      </c>
      <c r="B16967" t="s">
        <v>4</v>
      </c>
    </row>
    <row r="16968" spans="1:2" x14ac:dyDescent="0.2">
      <c r="A16968" t="str">
        <f>"TPR"</f>
        <v>TPR</v>
      </c>
      <c r="B16968" t="s">
        <v>3</v>
      </c>
    </row>
    <row r="16969" spans="1:2" x14ac:dyDescent="0.2">
      <c r="A16969" t="str">
        <f>"TPRA1"</f>
        <v>TPRA1</v>
      </c>
      <c r="B16969" t="s">
        <v>2</v>
      </c>
    </row>
    <row r="16970" spans="1:2" x14ac:dyDescent="0.2">
      <c r="A16970" t="str">
        <f>"TPRG1"</f>
        <v>TPRG1</v>
      </c>
      <c r="B16970" t="s">
        <v>4</v>
      </c>
    </row>
    <row r="16971" spans="1:2" x14ac:dyDescent="0.2">
      <c r="A16971" t="str">
        <f>"TPRG1L"</f>
        <v>TPRG1L</v>
      </c>
      <c r="B16971" t="s">
        <v>3</v>
      </c>
    </row>
    <row r="16972" spans="1:2" x14ac:dyDescent="0.2">
      <c r="A16972" t="str">
        <f>"TPRKB"</f>
        <v>TPRKB</v>
      </c>
      <c r="B16972" t="s">
        <v>2</v>
      </c>
    </row>
    <row r="16973" spans="1:2" x14ac:dyDescent="0.2">
      <c r="A16973" t="str">
        <f>"TPRN"</f>
        <v>TPRN</v>
      </c>
      <c r="B16973" t="s">
        <v>4</v>
      </c>
    </row>
    <row r="16974" spans="1:2" x14ac:dyDescent="0.2">
      <c r="A16974" t="str">
        <f>"TPRX1"</f>
        <v>TPRX1</v>
      </c>
      <c r="B16974" t="s">
        <v>8</v>
      </c>
    </row>
    <row r="16975" spans="1:2" x14ac:dyDescent="0.2">
      <c r="A16975" t="str">
        <f>"TPSAB1"</f>
        <v>TPSAB1</v>
      </c>
      <c r="B16975" t="s">
        <v>7</v>
      </c>
    </row>
    <row r="16976" spans="1:2" x14ac:dyDescent="0.2">
      <c r="A16976" t="str">
        <f>"TPSB2"</f>
        <v>TPSB2</v>
      </c>
      <c r="B16976" t="s">
        <v>7</v>
      </c>
    </row>
    <row r="16977" spans="1:2" x14ac:dyDescent="0.2">
      <c r="A16977" t="str">
        <f>"TPSD1"</f>
        <v>TPSD1</v>
      </c>
      <c r="B16977" t="s">
        <v>4</v>
      </c>
    </row>
    <row r="16978" spans="1:2" x14ac:dyDescent="0.2">
      <c r="A16978" t="str">
        <f>"TPSG1"</f>
        <v>TPSG1</v>
      </c>
      <c r="B16978" t="s">
        <v>2</v>
      </c>
    </row>
    <row r="16979" spans="1:2" x14ac:dyDescent="0.2">
      <c r="A16979" t="str">
        <f>"TPST1"</f>
        <v>TPST1</v>
      </c>
      <c r="B16979" t="s">
        <v>6</v>
      </c>
    </row>
    <row r="16980" spans="1:2" x14ac:dyDescent="0.2">
      <c r="A16980" t="str">
        <f>"TPST2"</f>
        <v>TPST2</v>
      </c>
      <c r="B16980" t="s">
        <v>6</v>
      </c>
    </row>
    <row r="16981" spans="1:2" x14ac:dyDescent="0.2">
      <c r="A16981" t="str">
        <f>"TPT1"</f>
        <v>TPT1</v>
      </c>
      <c r="B16981" t="s">
        <v>2</v>
      </c>
    </row>
    <row r="16982" spans="1:2" x14ac:dyDescent="0.2">
      <c r="A16982" t="str">
        <f>"TPTE"</f>
        <v>TPTE</v>
      </c>
      <c r="B16982" t="s">
        <v>7</v>
      </c>
    </row>
    <row r="16983" spans="1:2" x14ac:dyDescent="0.2">
      <c r="A16983" t="str">
        <f>"TPTE2"</f>
        <v>TPTE2</v>
      </c>
      <c r="B16983" t="s">
        <v>7</v>
      </c>
    </row>
    <row r="16984" spans="1:2" x14ac:dyDescent="0.2">
      <c r="A16984" t="str">
        <f>"TPX2"</f>
        <v>TPX2</v>
      </c>
      <c r="B16984" t="s">
        <v>4</v>
      </c>
    </row>
    <row r="16985" spans="1:2" x14ac:dyDescent="0.2">
      <c r="A16985" t="str">
        <f>"TRA2A"</f>
        <v>TRA2A</v>
      </c>
      <c r="B16985" t="s">
        <v>8</v>
      </c>
    </row>
    <row r="16986" spans="1:2" x14ac:dyDescent="0.2">
      <c r="A16986" t="str">
        <f>"TRA2B"</f>
        <v>TRA2B</v>
      </c>
      <c r="B16986" t="s">
        <v>8</v>
      </c>
    </row>
    <row r="16987" spans="1:2" x14ac:dyDescent="0.2">
      <c r="A16987" t="str">
        <f>"TRABD"</f>
        <v>TRABD</v>
      </c>
      <c r="B16987" t="s">
        <v>3</v>
      </c>
    </row>
    <row r="16988" spans="1:2" x14ac:dyDescent="0.2">
      <c r="A16988" t="str">
        <f>"TRABD2A"</f>
        <v>TRABD2A</v>
      </c>
      <c r="B16988" t="s">
        <v>5</v>
      </c>
    </row>
    <row r="16989" spans="1:2" x14ac:dyDescent="0.2">
      <c r="A16989" t="str">
        <f>"TRABD2B"</f>
        <v>TRABD2B</v>
      </c>
      <c r="B16989" t="s">
        <v>4</v>
      </c>
    </row>
    <row r="16990" spans="1:2" x14ac:dyDescent="0.2">
      <c r="A16990" t="str">
        <f>"TRADD"</f>
        <v>TRADD</v>
      </c>
      <c r="B16990" t="s">
        <v>3</v>
      </c>
    </row>
    <row r="16991" spans="1:2" x14ac:dyDescent="0.2">
      <c r="A16991" t="str">
        <f>"TRAF1"</f>
        <v>TRAF1</v>
      </c>
      <c r="B16991" t="s">
        <v>3</v>
      </c>
    </row>
    <row r="16992" spans="1:2" x14ac:dyDescent="0.2">
      <c r="A16992" t="str">
        <f>"TRAF2"</f>
        <v>TRAF2</v>
      </c>
      <c r="B16992" t="s">
        <v>3</v>
      </c>
    </row>
    <row r="16993" spans="1:2" x14ac:dyDescent="0.2">
      <c r="A16993" t="str">
        <f>"TRAF3"</f>
        <v>TRAF3</v>
      </c>
      <c r="B16993" t="s">
        <v>2</v>
      </c>
    </row>
    <row r="16994" spans="1:2" x14ac:dyDescent="0.2">
      <c r="A16994" t="str">
        <f>"TRAF3IP1"</f>
        <v>TRAF3IP1</v>
      </c>
      <c r="B16994" t="s">
        <v>8</v>
      </c>
    </row>
    <row r="16995" spans="1:2" x14ac:dyDescent="0.2">
      <c r="A16995" t="str">
        <f>"TRAF3IP2"</f>
        <v>TRAF3IP2</v>
      </c>
      <c r="B16995" t="s">
        <v>4</v>
      </c>
    </row>
    <row r="16996" spans="1:2" x14ac:dyDescent="0.2">
      <c r="A16996" t="str">
        <f>"TRAF3IP3"</f>
        <v>TRAF3IP3</v>
      </c>
      <c r="B16996" t="s">
        <v>7</v>
      </c>
    </row>
    <row r="16997" spans="1:2" x14ac:dyDescent="0.2">
      <c r="A16997" t="str">
        <f>"TRAF4"</f>
        <v>TRAF4</v>
      </c>
      <c r="B16997" t="s">
        <v>2</v>
      </c>
    </row>
    <row r="16998" spans="1:2" x14ac:dyDescent="0.2">
      <c r="A16998" t="str">
        <f>"TRAF5"</f>
        <v>TRAF5</v>
      </c>
      <c r="B16998" t="s">
        <v>2</v>
      </c>
    </row>
    <row r="16999" spans="1:2" x14ac:dyDescent="0.2">
      <c r="A16999" t="str">
        <f>"TRAF6"</f>
        <v>TRAF6</v>
      </c>
      <c r="B16999" t="s">
        <v>2</v>
      </c>
    </row>
    <row r="17000" spans="1:2" x14ac:dyDescent="0.2">
      <c r="A17000" t="str">
        <f>"TRAF7"</f>
        <v>TRAF7</v>
      </c>
      <c r="B17000" t="s">
        <v>2</v>
      </c>
    </row>
    <row r="17001" spans="1:2" x14ac:dyDescent="0.2">
      <c r="A17001" t="str">
        <f>"TRAFD1"</f>
        <v>TRAFD1</v>
      </c>
      <c r="B17001" t="s">
        <v>8</v>
      </c>
    </row>
    <row r="17002" spans="1:2" x14ac:dyDescent="0.2">
      <c r="A17002" t="str">
        <f>"TRAIP"</f>
        <v>TRAIP</v>
      </c>
      <c r="B17002" t="s">
        <v>2</v>
      </c>
    </row>
    <row r="17003" spans="1:2" x14ac:dyDescent="0.2">
      <c r="A17003" t="str">
        <f>"TRAK1"</f>
        <v>TRAK1</v>
      </c>
      <c r="B17003" t="s">
        <v>6</v>
      </c>
    </row>
    <row r="17004" spans="1:2" x14ac:dyDescent="0.2">
      <c r="A17004" t="str">
        <f>"TRAK2"</f>
        <v>TRAK2</v>
      </c>
      <c r="B17004" t="s">
        <v>6</v>
      </c>
    </row>
    <row r="17005" spans="1:2" x14ac:dyDescent="0.2">
      <c r="A17005" t="str">
        <f>"TRAM1"</f>
        <v>TRAM1</v>
      </c>
      <c r="B17005" t="s">
        <v>2</v>
      </c>
    </row>
    <row r="17006" spans="1:2" x14ac:dyDescent="0.2">
      <c r="A17006" t="str">
        <f>"TRAM1L1"</f>
        <v>TRAM1L1</v>
      </c>
      <c r="B17006" t="s">
        <v>5</v>
      </c>
    </row>
    <row r="17007" spans="1:2" x14ac:dyDescent="0.2">
      <c r="A17007" t="str">
        <f>"TRAM2"</f>
        <v>TRAM2</v>
      </c>
      <c r="B17007" t="s">
        <v>5</v>
      </c>
    </row>
    <row r="17008" spans="1:2" x14ac:dyDescent="0.2">
      <c r="A17008" t="str">
        <f>"TRANK1"</f>
        <v>TRANK1</v>
      </c>
      <c r="B17008" t="s">
        <v>8</v>
      </c>
    </row>
    <row r="17009" spans="1:2" x14ac:dyDescent="0.2">
      <c r="A17009" t="str">
        <f>"TRAP1"</f>
        <v>TRAP1</v>
      </c>
      <c r="B17009" t="s">
        <v>2</v>
      </c>
    </row>
    <row r="17010" spans="1:2" x14ac:dyDescent="0.2">
      <c r="A17010" t="str">
        <f>"TRAPPC1"</f>
        <v>TRAPPC1</v>
      </c>
      <c r="B17010" t="s">
        <v>7</v>
      </c>
    </row>
    <row r="17011" spans="1:2" x14ac:dyDescent="0.2">
      <c r="A17011" t="str">
        <f>"TRAPPC10"</f>
        <v>TRAPPC10</v>
      </c>
      <c r="B17011" t="s">
        <v>6</v>
      </c>
    </row>
    <row r="17012" spans="1:2" x14ac:dyDescent="0.2">
      <c r="A17012" t="str">
        <f>"TRAPPC11"</f>
        <v>TRAPPC11</v>
      </c>
      <c r="B17012" t="s">
        <v>6</v>
      </c>
    </row>
    <row r="17013" spans="1:2" x14ac:dyDescent="0.2">
      <c r="A17013" t="str">
        <f>"TRAPPC12"</f>
        <v>TRAPPC12</v>
      </c>
      <c r="B17013" t="s">
        <v>6</v>
      </c>
    </row>
    <row r="17014" spans="1:2" x14ac:dyDescent="0.2">
      <c r="A17014" t="str">
        <f>"TRAPPC13"</f>
        <v>TRAPPC13</v>
      </c>
      <c r="B17014" t="s">
        <v>4</v>
      </c>
    </row>
    <row r="17015" spans="1:2" x14ac:dyDescent="0.2">
      <c r="A17015" t="str">
        <f>"TRAPPC2"</f>
        <v>TRAPPC2</v>
      </c>
      <c r="B17015" t="s">
        <v>7</v>
      </c>
    </row>
    <row r="17016" spans="1:2" x14ac:dyDescent="0.2">
      <c r="A17016" t="str">
        <f>"TRAPPC2L"</f>
        <v>TRAPPC2L</v>
      </c>
      <c r="B17016" t="s">
        <v>6</v>
      </c>
    </row>
    <row r="17017" spans="1:2" x14ac:dyDescent="0.2">
      <c r="A17017" t="str">
        <f>"TRAPPC3"</f>
        <v>TRAPPC3</v>
      </c>
      <c r="B17017" t="s">
        <v>7</v>
      </c>
    </row>
    <row r="17018" spans="1:2" x14ac:dyDescent="0.2">
      <c r="A17018" t="str">
        <f>"TRAPPC3L"</f>
        <v>TRAPPC3L</v>
      </c>
      <c r="B17018" t="s">
        <v>4</v>
      </c>
    </row>
    <row r="17019" spans="1:2" x14ac:dyDescent="0.2">
      <c r="A17019" t="str">
        <f>"TRAPPC4"</f>
        <v>TRAPPC4</v>
      </c>
      <c r="B17019" t="s">
        <v>7</v>
      </c>
    </row>
    <row r="17020" spans="1:2" x14ac:dyDescent="0.2">
      <c r="A17020" t="str">
        <f>"TRAPPC5"</f>
        <v>TRAPPC5</v>
      </c>
      <c r="B17020" t="s">
        <v>7</v>
      </c>
    </row>
    <row r="17021" spans="1:2" x14ac:dyDescent="0.2">
      <c r="A17021" t="str">
        <f>"TRAPPC6A"</f>
        <v>TRAPPC6A</v>
      </c>
      <c r="B17021" t="s">
        <v>7</v>
      </c>
    </row>
    <row r="17022" spans="1:2" x14ac:dyDescent="0.2">
      <c r="A17022" t="str">
        <f>"TRAPPC6B"</f>
        <v>TRAPPC6B</v>
      </c>
      <c r="B17022" t="s">
        <v>7</v>
      </c>
    </row>
    <row r="17023" spans="1:2" x14ac:dyDescent="0.2">
      <c r="A17023" t="str">
        <f>"TRAPPC8"</f>
        <v>TRAPPC8</v>
      </c>
      <c r="B17023" t="s">
        <v>2</v>
      </c>
    </row>
    <row r="17024" spans="1:2" x14ac:dyDescent="0.2">
      <c r="A17024" t="str">
        <f>"TRAPPC9"</f>
        <v>TRAPPC9</v>
      </c>
      <c r="B17024" t="s">
        <v>4</v>
      </c>
    </row>
    <row r="17025" spans="1:2" x14ac:dyDescent="0.2">
      <c r="A17025" t="str">
        <f>"TRAT1"</f>
        <v>TRAT1</v>
      </c>
      <c r="B17025" t="s">
        <v>5</v>
      </c>
    </row>
    <row r="17026" spans="1:2" x14ac:dyDescent="0.2">
      <c r="A17026" t="str">
        <f>"TRDMT1"</f>
        <v>TRDMT1</v>
      </c>
      <c r="B17026" t="s">
        <v>7</v>
      </c>
    </row>
    <row r="17027" spans="1:2" x14ac:dyDescent="0.2">
      <c r="A17027" t="str">
        <f>"TRDN"</f>
        <v>TRDN</v>
      </c>
      <c r="B17027" t="s">
        <v>5</v>
      </c>
    </row>
    <row r="17028" spans="1:2" x14ac:dyDescent="0.2">
      <c r="A17028" t="str">
        <f>"TREH"</f>
        <v>TREH</v>
      </c>
      <c r="B17028" t="s">
        <v>3</v>
      </c>
    </row>
    <row r="17029" spans="1:2" x14ac:dyDescent="0.2">
      <c r="A17029" t="str">
        <f>"TREM1"</f>
        <v>TREM1</v>
      </c>
      <c r="B17029" t="s">
        <v>7</v>
      </c>
    </row>
    <row r="17030" spans="1:2" x14ac:dyDescent="0.2">
      <c r="A17030" t="str">
        <f>"TREM2"</f>
        <v>TREM2</v>
      </c>
      <c r="B17030" t="s">
        <v>5</v>
      </c>
    </row>
    <row r="17031" spans="1:2" x14ac:dyDescent="0.2">
      <c r="A17031" t="str">
        <f>"TREML1"</f>
        <v>TREML1</v>
      </c>
      <c r="B17031" t="s">
        <v>5</v>
      </c>
    </row>
    <row r="17032" spans="1:2" x14ac:dyDescent="0.2">
      <c r="A17032" t="str">
        <f>"TREML2"</f>
        <v>TREML2</v>
      </c>
      <c r="B17032" t="s">
        <v>5</v>
      </c>
    </row>
    <row r="17033" spans="1:2" x14ac:dyDescent="0.2">
      <c r="A17033" t="str">
        <f>"TREML4"</f>
        <v>TREML4</v>
      </c>
      <c r="B17033" t="s">
        <v>5</v>
      </c>
    </row>
    <row r="17034" spans="1:2" x14ac:dyDescent="0.2">
      <c r="A17034" t="str">
        <f>"TRERF1"</f>
        <v>TRERF1</v>
      </c>
      <c r="B17034" t="s">
        <v>8</v>
      </c>
    </row>
    <row r="17035" spans="1:2" x14ac:dyDescent="0.2">
      <c r="A17035" t="str">
        <f>"TREX1"</f>
        <v>TREX1</v>
      </c>
      <c r="B17035" t="s">
        <v>3</v>
      </c>
    </row>
    <row r="17036" spans="1:2" x14ac:dyDescent="0.2">
      <c r="A17036" t="str">
        <f>"TREX2"</f>
        <v>TREX2</v>
      </c>
      <c r="B17036" t="s">
        <v>3</v>
      </c>
    </row>
    <row r="17037" spans="1:2" x14ac:dyDescent="0.2">
      <c r="A17037" t="str">
        <f>"TRH"</f>
        <v>TRH</v>
      </c>
      <c r="B17037" t="s">
        <v>6</v>
      </c>
    </row>
    <row r="17038" spans="1:2" x14ac:dyDescent="0.2">
      <c r="A17038" t="str">
        <f>"TRHDE"</f>
        <v>TRHDE</v>
      </c>
      <c r="B17038" t="s">
        <v>2</v>
      </c>
    </row>
    <row r="17039" spans="1:2" x14ac:dyDescent="0.2">
      <c r="A17039" t="str">
        <f>"TRHR"</f>
        <v>TRHR</v>
      </c>
      <c r="B17039" t="s">
        <v>5</v>
      </c>
    </row>
    <row r="17040" spans="1:2" x14ac:dyDescent="0.2">
      <c r="A17040" t="str">
        <f>"TRIAP1"</f>
        <v>TRIAP1</v>
      </c>
      <c r="B17040" t="s">
        <v>3</v>
      </c>
    </row>
    <row r="17041" spans="1:2" x14ac:dyDescent="0.2">
      <c r="A17041" t="str">
        <f>"TRIB1"</f>
        <v>TRIB1</v>
      </c>
      <c r="B17041" t="s">
        <v>7</v>
      </c>
    </row>
    <row r="17042" spans="1:2" x14ac:dyDescent="0.2">
      <c r="A17042" t="str">
        <f>"TRIB2"</f>
        <v>TRIB2</v>
      </c>
      <c r="B17042" t="s">
        <v>7</v>
      </c>
    </row>
    <row r="17043" spans="1:2" x14ac:dyDescent="0.2">
      <c r="A17043" t="str">
        <f>"TRIB3"</f>
        <v>TRIB3</v>
      </c>
      <c r="B17043" t="s">
        <v>7</v>
      </c>
    </row>
    <row r="17044" spans="1:2" x14ac:dyDescent="0.2">
      <c r="A17044" t="str">
        <f>"TRIL"</f>
        <v>TRIL</v>
      </c>
      <c r="B17044" t="s">
        <v>5</v>
      </c>
    </row>
    <row r="17045" spans="1:2" x14ac:dyDescent="0.2">
      <c r="A17045" t="str">
        <f>"TRIM10"</f>
        <v>TRIM10</v>
      </c>
      <c r="B17045" t="s">
        <v>2</v>
      </c>
    </row>
    <row r="17046" spans="1:2" x14ac:dyDescent="0.2">
      <c r="A17046" t="str">
        <f>"TRIM11"</f>
        <v>TRIM11</v>
      </c>
      <c r="B17046" t="s">
        <v>2</v>
      </c>
    </row>
    <row r="17047" spans="1:2" x14ac:dyDescent="0.2">
      <c r="A17047" t="str">
        <f>"TRIM13"</f>
        <v>TRIM13</v>
      </c>
      <c r="B17047" t="s">
        <v>3</v>
      </c>
    </row>
    <row r="17048" spans="1:2" x14ac:dyDescent="0.2">
      <c r="A17048" t="str">
        <f>"TRIM14"</f>
        <v>TRIM14</v>
      </c>
      <c r="B17048" t="s">
        <v>2</v>
      </c>
    </row>
    <row r="17049" spans="1:2" x14ac:dyDescent="0.2">
      <c r="A17049" t="str">
        <f>"TRIM15"</f>
        <v>TRIM15</v>
      </c>
      <c r="B17049" t="s">
        <v>2</v>
      </c>
    </row>
    <row r="17050" spans="1:2" x14ac:dyDescent="0.2">
      <c r="A17050" t="str">
        <f>"TRIM16"</f>
        <v>TRIM16</v>
      </c>
      <c r="B17050" t="s">
        <v>8</v>
      </c>
    </row>
    <row r="17051" spans="1:2" x14ac:dyDescent="0.2">
      <c r="A17051" t="str">
        <f>"TRIM16L"</f>
        <v>TRIM16L</v>
      </c>
      <c r="B17051" t="s">
        <v>4</v>
      </c>
    </row>
    <row r="17052" spans="1:2" x14ac:dyDescent="0.2">
      <c r="A17052" t="str">
        <f>"TRIM17"</f>
        <v>TRIM17</v>
      </c>
      <c r="B17052" t="s">
        <v>2</v>
      </c>
    </row>
    <row r="17053" spans="1:2" x14ac:dyDescent="0.2">
      <c r="A17053" t="str">
        <f>"TRIM2"</f>
        <v>TRIM2</v>
      </c>
      <c r="B17053" t="s">
        <v>2</v>
      </c>
    </row>
    <row r="17054" spans="1:2" x14ac:dyDescent="0.2">
      <c r="A17054" t="str">
        <f>"TRIM21"</f>
        <v>TRIM21</v>
      </c>
      <c r="B17054" t="s">
        <v>2</v>
      </c>
    </row>
    <row r="17055" spans="1:2" x14ac:dyDescent="0.2">
      <c r="A17055" t="str">
        <f>"TRIM22"</f>
        <v>TRIM22</v>
      </c>
      <c r="B17055" t="s">
        <v>2</v>
      </c>
    </row>
    <row r="17056" spans="1:2" x14ac:dyDescent="0.2">
      <c r="A17056" t="str">
        <f>"TRIM23"</f>
        <v>TRIM23</v>
      </c>
      <c r="B17056" t="s">
        <v>2</v>
      </c>
    </row>
    <row r="17057" spans="1:2" x14ac:dyDescent="0.2">
      <c r="A17057" t="str">
        <f>"TRIM24"</f>
        <v>TRIM24</v>
      </c>
      <c r="B17057" t="s">
        <v>7</v>
      </c>
    </row>
    <row r="17058" spans="1:2" x14ac:dyDescent="0.2">
      <c r="A17058" t="str">
        <f>"TRIM25"</f>
        <v>TRIM25</v>
      </c>
      <c r="B17058" t="s">
        <v>2</v>
      </c>
    </row>
    <row r="17059" spans="1:2" x14ac:dyDescent="0.2">
      <c r="A17059" t="str">
        <f>"TRIM26"</f>
        <v>TRIM26</v>
      </c>
      <c r="B17059" t="s">
        <v>2</v>
      </c>
    </row>
    <row r="17060" spans="1:2" x14ac:dyDescent="0.2">
      <c r="A17060" t="str">
        <f>"TRIM27"</f>
        <v>TRIM27</v>
      </c>
      <c r="B17060" t="s">
        <v>2</v>
      </c>
    </row>
    <row r="17061" spans="1:2" x14ac:dyDescent="0.2">
      <c r="A17061" t="str">
        <f>"TRIM28"</f>
        <v>TRIM28</v>
      </c>
      <c r="B17061" t="s">
        <v>7</v>
      </c>
    </row>
    <row r="17062" spans="1:2" x14ac:dyDescent="0.2">
      <c r="A17062" t="str">
        <f>"TRIM29"</f>
        <v>TRIM29</v>
      </c>
      <c r="B17062" t="s">
        <v>2</v>
      </c>
    </row>
    <row r="17063" spans="1:2" x14ac:dyDescent="0.2">
      <c r="A17063" t="str">
        <f>"TRIM3"</f>
        <v>TRIM3</v>
      </c>
      <c r="B17063" t="s">
        <v>2</v>
      </c>
    </row>
    <row r="17064" spans="1:2" x14ac:dyDescent="0.2">
      <c r="A17064" t="str">
        <f>"TRIM31"</f>
        <v>TRIM31</v>
      </c>
      <c r="B17064" t="s">
        <v>2</v>
      </c>
    </row>
    <row r="17065" spans="1:2" x14ac:dyDescent="0.2">
      <c r="A17065" t="str">
        <f>"TRIM32"</f>
        <v>TRIM32</v>
      </c>
      <c r="B17065" t="s">
        <v>2</v>
      </c>
    </row>
    <row r="17066" spans="1:2" x14ac:dyDescent="0.2">
      <c r="A17066" t="str">
        <f>"TRIM33"</f>
        <v>TRIM33</v>
      </c>
      <c r="B17066" t="s">
        <v>7</v>
      </c>
    </row>
    <row r="17067" spans="1:2" x14ac:dyDescent="0.2">
      <c r="A17067" t="str">
        <f>"TRIM34"</f>
        <v>TRIM34</v>
      </c>
      <c r="B17067" t="s">
        <v>2</v>
      </c>
    </row>
    <row r="17068" spans="1:2" x14ac:dyDescent="0.2">
      <c r="A17068" t="str">
        <f>"TRIM35"</f>
        <v>TRIM35</v>
      </c>
      <c r="B17068" t="s">
        <v>2</v>
      </c>
    </row>
    <row r="17069" spans="1:2" x14ac:dyDescent="0.2">
      <c r="A17069" t="str">
        <f>"TRIM36"</f>
        <v>TRIM36</v>
      </c>
      <c r="B17069" t="s">
        <v>3</v>
      </c>
    </row>
    <row r="17070" spans="1:2" x14ac:dyDescent="0.2">
      <c r="A17070" t="str">
        <f>"TRIM37"</f>
        <v>TRIM37</v>
      </c>
      <c r="B17070" t="s">
        <v>2</v>
      </c>
    </row>
    <row r="17071" spans="1:2" x14ac:dyDescent="0.2">
      <c r="A17071" t="str">
        <f>"TRIM38"</f>
        <v>TRIM38</v>
      </c>
      <c r="B17071" t="s">
        <v>2</v>
      </c>
    </row>
    <row r="17072" spans="1:2" x14ac:dyDescent="0.2">
      <c r="A17072" t="str">
        <f>"TRIM39"</f>
        <v>TRIM39</v>
      </c>
      <c r="B17072" t="s">
        <v>2</v>
      </c>
    </row>
    <row r="17073" spans="1:2" x14ac:dyDescent="0.2">
      <c r="A17073" t="str">
        <f>"TRIM39-RPP21"</f>
        <v>TRIM39-RPP21</v>
      </c>
      <c r="B17073" t="s">
        <v>4</v>
      </c>
    </row>
    <row r="17074" spans="1:2" x14ac:dyDescent="0.2">
      <c r="A17074" t="str">
        <f>"TRIM4"</f>
        <v>TRIM4</v>
      </c>
      <c r="B17074" t="s">
        <v>2</v>
      </c>
    </row>
    <row r="17075" spans="1:2" x14ac:dyDescent="0.2">
      <c r="A17075" t="str">
        <f>"TRIM40"</f>
        <v>TRIM40</v>
      </c>
      <c r="B17075" t="s">
        <v>2</v>
      </c>
    </row>
    <row r="17076" spans="1:2" x14ac:dyDescent="0.2">
      <c r="A17076" t="str">
        <f>"TRIM41"</f>
        <v>TRIM41</v>
      </c>
      <c r="B17076" t="s">
        <v>2</v>
      </c>
    </row>
    <row r="17077" spans="1:2" x14ac:dyDescent="0.2">
      <c r="A17077" t="str">
        <f>"TRIM42"</f>
        <v>TRIM42</v>
      </c>
      <c r="B17077" t="s">
        <v>3</v>
      </c>
    </row>
    <row r="17078" spans="1:2" x14ac:dyDescent="0.2">
      <c r="A17078" t="str">
        <f>"TRIM43"</f>
        <v>TRIM43</v>
      </c>
      <c r="B17078" t="s">
        <v>2</v>
      </c>
    </row>
    <row r="17079" spans="1:2" x14ac:dyDescent="0.2">
      <c r="A17079" t="str">
        <f>"TRIM44"</f>
        <v>TRIM44</v>
      </c>
      <c r="B17079" t="s">
        <v>4</v>
      </c>
    </row>
    <row r="17080" spans="1:2" x14ac:dyDescent="0.2">
      <c r="A17080" t="str">
        <f>"TRIM45"</f>
        <v>TRIM45</v>
      </c>
      <c r="B17080" t="s">
        <v>2</v>
      </c>
    </row>
    <row r="17081" spans="1:2" x14ac:dyDescent="0.2">
      <c r="A17081" t="str">
        <f>"TRIM46"</f>
        <v>TRIM46</v>
      </c>
      <c r="B17081" t="s">
        <v>2</v>
      </c>
    </row>
    <row r="17082" spans="1:2" x14ac:dyDescent="0.2">
      <c r="A17082" t="str">
        <f>"TRIM47"</f>
        <v>TRIM47</v>
      </c>
      <c r="B17082" t="s">
        <v>2</v>
      </c>
    </row>
    <row r="17083" spans="1:2" x14ac:dyDescent="0.2">
      <c r="A17083" t="str">
        <f>"TRIM49"</f>
        <v>TRIM49</v>
      </c>
      <c r="B17083" t="s">
        <v>2</v>
      </c>
    </row>
    <row r="17084" spans="1:2" x14ac:dyDescent="0.2">
      <c r="A17084" t="str">
        <f>"TRIM49C"</f>
        <v>TRIM49C</v>
      </c>
      <c r="B17084" t="s">
        <v>4</v>
      </c>
    </row>
    <row r="17085" spans="1:2" x14ac:dyDescent="0.2">
      <c r="A17085" t="str">
        <f>"TRIM49D1"</f>
        <v>TRIM49D1</v>
      </c>
      <c r="B17085" t="s">
        <v>4</v>
      </c>
    </row>
    <row r="17086" spans="1:2" x14ac:dyDescent="0.2">
      <c r="A17086" t="str">
        <f>"TRIM5"</f>
        <v>TRIM5</v>
      </c>
      <c r="B17086" t="s">
        <v>2</v>
      </c>
    </row>
    <row r="17087" spans="1:2" x14ac:dyDescent="0.2">
      <c r="A17087" t="str">
        <f>"TRIM50"</f>
        <v>TRIM50</v>
      </c>
      <c r="B17087" t="s">
        <v>2</v>
      </c>
    </row>
    <row r="17088" spans="1:2" x14ac:dyDescent="0.2">
      <c r="A17088" t="str">
        <f>"TRIM51"</f>
        <v>TRIM51</v>
      </c>
      <c r="B17088" t="s">
        <v>2</v>
      </c>
    </row>
    <row r="17089" spans="1:2" x14ac:dyDescent="0.2">
      <c r="A17089" t="str">
        <f>"TRIM52"</f>
        <v>TRIM52</v>
      </c>
      <c r="B17089" t="s">
        <v>2</v>
      </c>
    </row>
    <row r="17090" spans="1:2" x14ac:dyDescent="0.2">
      <c r="A17090" t="str">
        <f>"TRIM54"</f>
        <v>TRIM54</v>
      </c>
      <c r="B17090" t="s">
        <v>2</v>
      </c>
    </row>
    <row r="17091" spans="1:2" x14ac:dyDescent="0.2">
      <c r="A17091" t="str">
        <f>"TRIM55"</f>
        <v>TRIM55</v>
      </c>
      <c r="B17091" t="s">
        <v>2</v>
      </c>
    </row>
    <row r="17092" spans="1:2" x14ac:dyDescent="0.2">
      <c r="A17092" t="str">
        <f>"TRIM56"</f>
        <v>TRIM56</v>
      </c>
      <c r="B17092" t="s">
        <v>2</v>
      </c>
    </row>
    <row r="17093" spans="1:2" x14ac:dyDescent="0.2">
      <c r="A17093" t="str">
        <f>"TRIM58"</f>
        <v>TRIM58</v>
      </c>
      <c r="B17093" t="s">
        <v>2</v>
      </c>
    </row>
    <row r="17094" spans="1:2" x14ac:dyDescent="0.2">
      <c r="A17094" t="str">
        <f>"TRIM59"</f>
        <v>TRIM59</v>
      </c>
      <c r="B17094" t="s">
        <v>2</v>
      </c>
    </row>
    <row r="17095" spans="1:2" x14ac:dyDescent="0.2">
      <c r="A17095" t="str">
        <f>"TRIM6"</f>
        <v>TRIM6</v>
      </c>
      <c r="B17095" t="s">
        <v>2</v>
      </c>
    </row>
    <row r="17096" spans="1:2" x14ac:dyDescent="0.2">
      <c r="A17096" t="str">
        <f>"TRIM6-TRIM34"</f>
        <v>TRIM6-TRIM34</v>
      </c>
      <c r="B17096" t="s">
        <v>2</v>
      </c>
    </row>
    <row r="17097" spans="1:2" x14ac:dyDescent="0.2">
      <c r="A17097" t="str">
        <f>"TRIM60"</f>
        <v>TRIM60</v>
      </c>
      <c r="B17097" t="s">
        <v>2</v>
      </c>
    </row>
    <row r="17098" spans="1:2" x14ac:dyDescent="0.2">
      <c r="A17098" t="str">
        <f>"TRIM61"</f>
        <v>TRIM61</v>
      </c>
      <c r="B17098" t="s">
        <v>2</v>
      </c>
    </row>
    <row r="17099" spans="1:2" x14ac:dyDescent="0.2">
      <c r="A17099" t="str">
        <f>"TRIM62"</f>
        <v>TRIM62</v>
      </c>
      <c r="B17099" t="s">
        <v>2</v>
      </c>
    </row>
    <row r="17100" spans="1:2" x14ac:dyDescent="0.2">
      <c r="A17100" t="str">
        <f>"TRIM63"</f>
        <v>TRIM63</v>
      </c>
      <c r="B17100" t="s">
        <v>2</v>
      </c>
    </row>
    <row r="17101" spans="1:2" x14ac:dyDescent="0.2">
      <c r="A17101" t="str">
        <f>"TRIM65"</f>
        <v>TRIM65</v>
      </c>
      <c r="B17101" t="s">
        <v>2</v>
      </c>
    </row>
    <row r="17102" spans="1:2" x14ac:dyDescent="0.2">
      <c r="A17102" t="str">
        <f>"TRIM66"</f>
        <v>TRIM66</v>
      </c>
      <c r="B17102" t="s">
        <v>2</v>
      </c>
    </row>
    <row r="17103" spans="1:2" x14ac:dyDescent="0.2">
      <c r="A17103" t="str">
        <f>"TRIM67"</f>
        <v>TRIM67</v>
      </c>
      <c r="B17103" t="s">
        <v>2</v>
      </c>
    </row>
    <row r="17104" spans="1:2" x14ac:dyDescent="0.2">
      <c r="A17104" t="str">
        <f>"TRIM68"</f>
        <v>TRIM68</v>
      </c>
      <c r="B17104" t="s">
        <v>2</v>
      </c>
    </row>
    <row r="17105" spans="1:2" x14ac:dyDescent="0.2">
      <c r="A17105" t="str">
        <f>"TRIM69"</f>
        <v>TRIM69</v>
      </c>
      <c r="B17105" t="s">
        <v>2</v>
      </c>
    </row>
    <row r="17106" spans="1:2" x14ac:dyDescent="0.2">
      <c r="A17106" t="str">
        <f>"TRIM7"</f>
        <v>TRIM7</v>
      </c>
      <c r="B17106" t="s">
        <v>2</v>
      </c>
    </row>
    <row r="17107" spans="1:2" x14ac:dyDescent="0.2">
      <c r="A17107" t="str">
        <f>"TRIM71"</f>
        <v>TRIM71</v>
      </c>
      <c r="B17107" t="s">
        <v>2</v>
      </c>
    </row>
    <row r="17108" spans="1:2" x14ac:dyDescent="0.2">
      <c r="A17108" t="str">
        <f>"TRIM72"</f>
        <v>TRIM72</v>
      </c>
      <c r="B17108" t="s">
        <v>2</v>
      </c>
    </row>
    <row r="17109" spans="1:2" x14ac:dyDescent="0.2">
      <c r="A17109" t="str">
        <f>"TRIM73"</f>
        <v>TRIM73</v>
      </c>
      <c r="B17109" t="s">
        <v>2</v>
      </c>
    </row>
    <row r="17110" spans="1:2" x14ac:dyDescent="0.2">
      <c r="A17110" t="str">
        <f>"TRIM74"</f>
        <v>TRIM74</v>
      </c>
      <c r="B17110" t="s">
        <v>2</v>
      </c>
    </row>
    <row r="17111" spans="1:2" x14ac:dyDescent="0.2">
      <c r="A17111" t="str">
        <f>"TRIM77"</f>
        <v>TRIM77</v>
      </c>
      <c r="B17111" t="s">
        <v>2</v>
      </c>
    </row>
    <row r="17112" spans="1:2" x14ac:dyDescent="0.2">
      <c r="A17112" t="str">
        <f>"TRIM8"</f>
        <v>TRIM8</v>
      </c>
      <c r="B17112" t="s">
        <v>2</v>
      </c>
    </row>
    <row r="17113" spans="1:2" x14ac:dyDescent="0.2">
      <c r="A17113" t="str">
        <f>"TRIM9"</f>
        <v>TRIM9</v>
      </c>
      <c r="B17113" t="s">
        <v>2</v>
      </c>
    </row>
    <row r="17114" spans="1:2" x14ac:dyDescent="0.2">
      <c r="A17114" t="str">
        <f>"TRIML1"</f>
        <v>TRIML1</v>
      </c>
      <c r="B17114" t="s">
        <v>2</v>
      </c>
    </row>
    <row r="17115" spans="1:2" x14ac:dyDescent="0.2">
      <c r="A17115" t="str">
        <f>"TRIML2"</f>
        <v>TRIML2</v>
      </c>
      <c r="B17115" t="s">
        <v>4</v>
      </c>
    </row>
    <row r="17116" spans="1:2" x14ac:dyDescent="0.2">
      <c r="A17116" t="str">
        <f>"TRIO"</f>
        <v>TRIO</v>
      </c>
      <c r="B17116" t="s">
        <v>7</v>
      </c>
    </row>
    <row r="17117" spans="1:2" x14ac:dyDescent="0.2">
      <c r="A17117" t="str">
        <f>"TRIOBP"</f>
        <v>TRIOBP</v>
      </c>
      <c r="B17117" t="s">
        <v>6</v>
      </c>
    </row>
    <row r="17118" spans="1:2" x14ac:dyDescent="0.2">
      <c r="A17118" t="str">
        <f>"TRIP10"</f>
        <v>TRIP10</v>
      </c>
      <c r="B17118" t="s">
        <v>2</v>
      </c>
    </row>
    <row r="17119" spans="1:2" x14ac:dyDescent="0.2">
      <c r="A17119" t="str">
        <f>"TRIP11"</f>
        <v>TRIP11</v>
      </c>
      <c r="B17119" t="s">
        <v>3</v>
      </c>
    </row>
    <row r="17120" spans="1:2" x14ac:dyDescent="0.2">
      <c r="A17120" t="str">
        <f>"TRIP12"</f>
        <v>TRIP12</v>
      </c>
      <c r="B17120" t="s">
        <v>3</v>
      </c>
    </row>
    <row r="17121" spans="1:2" x14ac:dyDescent="0.2">
      <c r="A17121" t="str">
        <f>"TRIP13"</f>
        <v>TRIP13</v>
      </c>
      <c r="B17121" t="s">
        <v>8</v>
      </c>
    </row>
    <row r="17122" spans="1:2" x14ac:dyDescent="0.2">
      <c r="A17122" t="str">
        <f>"TRIP4"</f>
        <v>TRIP4</v>
      </c>
      <c r="B17122" t="s">
        <v>8</v>
      </c>
    </row>
    <row r="17123" spans="1:2" x14ac:dyDescent="0.2">
      <c r="A17123" t="str">
        <f>"TRIP6"</f>
        <v>TRIP6</v>
      </c>
      <c r="B17123" t="s">
        <v>3</v>
      </c>
    </row>
    <row r="17124" spans="1:2" x14ac:dyDescent="0.2">
      <c r="A17124" t="str">
        <f>"TRIQK"</f>
        <v>TRIQK</v>
      </c>
      <c r="B17124" t="s">
        <v>5</v>
      </c>
    </row>
    <row r="17125" spans="1:2" x14ac:dyDescent="0.2">
      <c r="A17125" t="str">
        <f>"TRIT1"</f>
        <v>TRIT1</v>
      </c>
      <c r="B17125" t="s">
        <v>6</v>
      </c>
    </row>
    <row r="17126" spans="1:2" x14ac:dyDescent="0.2">
      <c r="A17126" t="str">
        <f>"TRMT1"</f>
        <v>TRMT1</v>
      </c>
      <c r="B17126" t="s">
        <v>6</v>
      </c>
    </row>
    <row r="17127" spans="1:2" x14ac:dyDescent="0.2">
      <c r="A17127" t="str">
        <f>"TRMT10A"</f>
        <v>TRMT10A</v>
      </c>
      <c r="B17127" t="s">
        <v>8</v>
      </c>
    </row>
    <row r="17128" spans="1:2" x14ac:dyDescent="0.2">
      <c r="A17128" t="str">
        <f>"TRMT10B"</f>
        <v>TRMT10B</v>
      </c>
      <c r="B17128" t="s">
        <v>8</v>
      </c>
    </row>
    <row r="17129" spans="1:2" x14ac:dyDescent="0.2">
      <c r="A17129" t="str">
        <f>"TRMT10C"</f>
        <v>TRMT10C</v>
      </c>
      <c r="B17129" t="s">
        <v>6</v>
      </c>
    </row>
    <row r="17130" spans="1:2" x14ac:dyDescent="0.2">
      <c r="A17130" t="str">
        <f>"TRMT11"</f>
        <v>TRMT11</v>
      </c>
      <c r="B17130" t="s">
        <v>8</v>
      </c>
    </row>
    <row r="17131" spans="1:2" x14ac:dyDescent="0.2">
      <c r="A17131" t="str">
        <f>"TRMT112"</f>
        <v>TRMT112</v>
      </c>
      <c r="B17131" t="s">
        <v>2</v>
      </c>
    </row>
    <row r="17132" spans="1:2" x14ac:dyDescent="0.2">
      <c r="A17132" t="str">
        <f>"TRMT12"</f>
        <v>TRMT12</v>
      </c>
      <c r="B17132" t="s">
        <v>4</v>
      </c>
    </row>
    <row r="17133" spans="1:2" x14ac:dyDescent="0.2">
      <c r="A17133" t="str">
        <f>"TRMT13"</f>
        <v>TRMT13</v>
      </c>
      <c r="B17133" t="s">
        <v>8</v>
      </c>
    </row>
    <row r="17134" spans="1:2" x14ac:dyDescent="0.2">
      <c r="A17134" t="str">
        <f>"TRMT1L"</f>
        <v>TRMT1L</v>
      </c>
      <c r="B17134" t="s">
        <v>8</v>
      </c>
    </row>
    <row r="17135" spans="1:2" x14ac:dyDescent="0.2">
      <c r="A17135" t="str">
        <f>"TRMT2A"</f>
        <v>TRMT2A</v>
      </c>
      <c r="B17135" t="s">
        <v>8</v>
      </c>
    </row>
    <row r="17136" spans="1:2" x14ac:dyDescent="0.2">
      <c r="A17136" t="str">
        <f>"TRMT2B"</f>
        <v>TRMT2B</v>
      </c>
      <c r="B17136" t="s">
        <v>6</v>
      </c>
    </row>
    <row r="17137" spans="1:2" x14ac:dyDescent="0.2">
      <c r="A17137" t="str">
        <f>"TRMT44"</f>
        <v>TRMT44</v>
      </c>
      <c r="B17137" t="s">
        <v>4</v>
      </c>
    </row>
    <row r="17138" spans="1:2" x14ac:dyDescent="0.2">
      <c r="A17138" t="str">
        <f>"TRMT5"</f>
        <v>TRMT5</v>
      </c>
      <c r="B17138" t="s">
        <v>8</v>
      </c>
    </row>
    <row r="17139" spans="1:2" x14ac:dyDescent="0.2">
      <c r="A17139" t="str">
        <f>"TRMT6"</f>
        <v>TRMT6</v>
      </c>
      <c r="B17139" t="s">
        <v>2</v>
      </c>
    </row>
    <row r="17140" spans="1:2" x14ac:dyDescent="0.2">
      <c r="A17140" t="str">
        <f>"TRMT61A"</f>
        <v>TRMT61A</v>
      </c>
      <c r="B17140" t="s">
        <v>8</v>
      </c>
    </row>
    <row r="17141" spans="1:2" x14ac:dyDescent="0.2">
      <c r="A17141" t="str">
        <f>"TRMT61B"</f>
        <v>TRMT61B</v>
      </c>
      <c r="B17141" t="s">
        <v>6</v>
      </c>
    </row>
    <row r="17142" spans="1:2" x14ac:dyDescent="0.2">
      <c r="A17142" t="str">
        <f>"TRMU"</f>
        <v>TRMU</v>
      </c>
      <c r="B17142" t="s">
        <v>6</v>
      </c>
    </row>
    <row r="17143" spans="1:2" x14ac:dyDescent="0.2">
      <c r="A17143" t="str">
        <f>"TRNAU1AP"</f>
        <v>TRNAU1AP</v>
      </c>
      <c r="B17143" t="s">
        <v>8</v>
      </c>
    </row>
    <row r="17144" spans="1:2" x14ac:dyDescent="0.2">
      <c r="A17144" t="str">
        <f>"TRNP1"</f>
        <v>TRNP1</v>
      </c>
      <c r="B17144" t="s">
        <v>2</v>
      </c>
    </row>
    <row r="17145" spans="1:2" x14ac:dyDescent="0.2">
      <c r="A17145" t="str">
        <f>"TRNT1"</f>
        <v>TRNT1</v>
      </c>
      <c r="B17145" t="s">
        <v>6</v>
      </c>
    </row>
    <row r="17146" spans="1:2" x14ac:dyDescent="0.2">
      <c r="A17146" t="str">
        <f>"TRO"</f>
        <v>TRO</v>
      </c>
      <c r="B17146" t="s">
        <v>4</v>
      </c>
    </row>
    <row r="17147" spans="1:2" x14ac:dyDescent="0.2">
      <c r="A17147" t="str">
        <f>"TROAP"</f>
        <v>TROAP</v>
      </c>
      <c r="B17147" t="s">
        <v>2</v>
      </c>
    </row>
    <row r="17148" spans="1:2" x14ac:dyDescent="0.2">
      <c r="A17148" t="str">
        <f>"TROVE2"</f>
        <v>TROVE2</v>
      </c>
      <c r="B17148" t="s">
        <v>8</v>
      </c>
    </row>
    <row r="17149" spans="1:2" x14ac:dyDescent="0.2">
      <c r="A17149" t="str">
        <f>"TRPA1"</f>
        <v>TRPA1</v>
      </c>
      <c r="B17149" t="s">
        <v>7</v>
      </c>
    </row>
    <row r="17150" spans="1:2" x14ac:dyDescent="0.2">
      <c r="A17150" t="str">
        <f>"TRPC1"</f>
        <v>TRPC1</v>
      </c>
      <c r="B17150" t="s">
        <v>6</v>
      </c>
    </row>
    <row r="17151" spans="1:2" x14ac:dyDescent="0.2">
      <c r="A17151" t="str">
        <f>"TRPC3"</f>
        <v>TRPC3</v>
      </c>
      <c r="B17151" t="s">
        <v>8</v>
      </c>
    </row>
    <row r="17152" spans="1:2" x14ac:dyDescent="0.2">
      <c r="A17152" t="str">
        <f>"TRPC4"</f>
        <v>TRPC4</v>
      </c>
      <c r="B17152" t="s">
        <v>6</v>
      </c>
    </row>
    <row r="17153" spans="1:2" x14ac:dyDescent="0.2">
      <c r="A17153" t="str">
        <f>"TRPC4AP"</f>
        <v>TRPC4AP</v>
      </c>
      <c r="B17153" t="s">
        <v>2</v>
      </c>
    </row>
    <row r="17154" spans="1:2" x14ac:dyDescent="0.2">
      <c r="A17154" t="str">
        <f>"TRPC5"</f>
        <v>TRPC5</v>
      </c>
      <c r="B17154" t="s">
        <v>8</v>
      </c>
    </row>
    <row r="17155" spans="1:2" x14ac:dyDescent="0.2">
      <c r="A17155" t="str">
        <f>"TRPC5OS"</f>
        <v>TRPC5OS</v>
      </c>
      <c r="B17155" t="s">
        <v>4</v>
      </c>
    </row>
    <row r="17156" spans="1:2" x14ac:dyDescent="0.2">
      <c r="A17156" t="str">
        <f>"TRPC6"</f>
        <v>TRPC6</v>
      </c>
      <c r="B17156" t="s">
        <v>5</v>
      </c>
    </row>
    <row r="17157" spans="1:2" x14ac:dyDescent="0.2">
      <c r="A17157" t="str">
        <f>"TRPC7"</f>
        <v>TRPC7</v>
      </c>
      <c r="B17157" t="s">
        <v>5</v>
      </c>
    </row>
    <row r="17158" spans="1:2" x14ac:dyDescent="0.2">
      <c r="A17158" t="str">
        <f>"TRPM1"</f>
        <v>TRPM1</v>
      </c>
      <c r="B17158" t="s">
        <v>5</v>
      </c>
    </row>
    <row r="17159" spans="1:2" x14ac:dyDescent="0.2">
      <c r="A17159" t="str">
        <f>"TRPM2"</f>
        <v>TRPM2</v>
      </c>
      <c r="B17159" t="s">
        <v>5</v>
      </c>
    </row>
    <row r="17160" spans="1:2" x14ac:dyDescent="0.2">
      <c r="A17160" t="str">
        <f>"TRPM3"</f>
        <v>TRPM3</v>
      </c>
      <c r="B17160" t="s">
        <v>3</v>
      </c>
    </row>
    <row r="17161" spans="1:2" x14ac:dyDescent="0.2">
      <c r="A17161" t="str">
        <f>"TRPM4"</f>
        <v>TRPM4</v>
      </c>
      <c r="B17161" t="s">
        <v>4</v>
      </c>
    </row>
    <row r="17162" spans="1:2" x14ac:dyDescent="0.2">
      <c r="A17162" t="str">
        <f>"TRPM5"</f>
        <v>TRPM5</v>
      </c>
      <c r="B17162" t="s">
        <v>5</v>
      </c>
    </row>
    <row r="17163" spans="1:2" x14ac:dyDescent="0.2">
      <c r="A17163" t="str">
        <f>"TRPM6"</f>
        <v>TRPM6</v>
      </c>
      <c r="B17163" t="s">
        <v>7</v>
      </c>
    </row>
    <row r="17164" spans="1:2" x14ac:dyDescent="0.2">
      <c r="A17164" t="str">
        <f>"TRPM7"</f>
        <v>TRPM7</v>
      </c>
      <c r="B17164" t="s">
        <v>7</v>
      </c>
    </row>
    <row r="17165" spans="1:2" x14ac:dyDescent="0.2">
      <c r="A17165" t="str">
        <f>"TRPM8"</f>
        <v>TRPM8</v>
      </c>
      <c r="B17165" t="s">
        <v>7</v>
      </c>
    </row>
    <row r="17166" spans="1:2" x14ac:dyDescent="0.2">
      <c r="A17166" t="str">
        <f>"TRPS1"</f>
        <v>TRPS1</v>
      </c>
      <c r="B17166" t="s">
        <v>3</v>
      </c>
    </row>
    <row r="17167" spans="1:2" x14ac:dyDescent="0.2">
      <c r="A17167" t="str">
        <f>"TRPT1"</f>
        <v>TRPT1</v>
      </c>
      <c r="B17167" t="s">
        <v>4</v>
      </c>
    </row>
    <row r="17168" spans="1:2" x14ac:dyDescent="0.2">
      <c r="A17168" t="str">
        <f>"TRPV1"</f>
        <v>TRPV1</v>
      </c>
      <c r="B17168" t="s">
        <v>7</v>
      </c>
    </row>
    <row r="17169" spans="1:2" x14ac:dyDescent="0.2">
      <c r="A17169" t="str">
        <f>"TRPV2"</f>
        <v>TRPV2</v>
      </c>
      <c r="B17169" t="s">
        <v>8</v>
      </c>
    </row>
    <row r="17170" spans="1:2" x14ac:dyDescent="0.2">
      <c r="A17170" t="str">
        <f>"TRPV3"</f>
        <v>TRPV3</v>
      </c>
      <c r="B17170" t="s">
        <v>7</v>
      </c>
    </row>
    <row r="17171" spans="1:2" x14ac:dyDescent="0.2">
      <c r="A17171" t="str">
        <f>"TRPV4"</f>
        <v>TRPV4</v>
      </c>
      <c r="B17171" t="s">
        <v>5</v>
      </c>
    </row>
    <row r="17172" spans="1:2" x14ac:dyDescent="0.2">
      <c r="A17172" t="str">
        <f>"TRPV5"</f>
        <v>TRPV5</v>
      </c>
      <c r="B17172" t="s">
        <v>5</v>
      </c>
    </row>
    <row r="17173" spans="1:2" x14ac:dyDescent="0.2">
      <c r="A17173" t="str">
        <f>"TRPV6"</f>
        <v>TRPV6</v>
      </c>
      <c r="B17173" t="s">
        <v>8</v>
      </c>
    </row>
    <row r="17174" spans="1:2" x14ac:dyDescent="0.2">
      <c r="A17174" t="str">
        <f>"TRRAP"</f>
        <v>TRRAP</v>
      </c>
      <c r="B17174" t="s">
        <v>7</v>
      </c>
    </row>
    <row r="17175" spans="1:2" x14ac:dyDescent="0.2">
      <c r="A17175" t="str">
        <f>"TRUB1"</f>
        <v>TRUB1</v>
      </c>
      <c r="B17175" t="s">
        <v>8</v>
      </c>
    </row>
    <row r="17176" spans="1:2" x14ac:dyDescent="0.2">
      <c r="A17176" t="str">
        <f>"TRUB2"</f>
        <v>TRUB2</v>
      </c>
      <c r="B17176" t="s">
        <v>8</v>
      </c>
    </row>
    <row r="17177" spans="1:2" x14ac:dyDescent="0.2">
      <c r="A17177" t="str">
        <f>"TSACC"</f>
        <v>TSACC</v>
      </c>
      <c r="B17177" t="s">
        <v>4</v>
      </c>
    </row>
    <row r="17178" spans="1:2" x14ac:dyDescent="0.2">
      <c r="A17178" t="str">
        <f>"TSC1"</f>
        <v>TSC1</v>
      </c>
      <c r="B17178" t="s">
        <v>3</v>
      </c>
    </row>
    <row r="17179" spans="1:2" x14ac:dyDescent="0.2">
      <c r="A17179" t="str">
        <f>"TSC2"</f>
        <v>TSC2</v>
      </c>
      <c r="B17179" t="s">
        <v>3</v>
      </c>
    </row>
    <row r="17180" spans="1:2" x14ac:dyDescent="0.2">
      <c r="A17180" t="str">
        <f>"TSC22D1"</f>
        <v>TSC22D1</v>
      </c>
      <c r="B17180" t="s">
        <v>2</v>
      </c>
    </row>
    <row r="17181" spans="1:2" x14ac:dyDescent="0.2">
      <c r="A17181" t="str">
        <f>"TSC22D2"</f>
        <v>TSC22D2</v>
      </c>
      <c r="B17181" t="s">
        <v>8</v>
      </c>
    </row>
    <row r="17182" spans="1:2" x14ac:dyDescent="0.2">
      <c r="A17182" t="str">
        <f>"TSC22D3"</f>
        <v>TSC22D3</v>
      </c>
      <c r="B17182" t="s">
        <v>3</v>
      </c>
    </row>
    <row r="17183" spans="1:2" x14ac:dyDescent="0.2">
      <c r="A17183" t="str">
        <f>"TSC22D4"</f>
        <v>TSC22D4</v>
      </c>
      <c r="B17183" t="s">
        <v>3</v>
      </c>
    </row>
    <row r="17184" spans="1:2" x14ac:dyDescent="0.2">
      <c r="A17184" t="str">
        <f>"TSEN15"</f>
        <v>TSEN15</v>
      </c>
      <c r="B17184" t="s">
        <v>4</v>
      </c>
    </row>
    <row r="17185" spans="1:2" x14ac:dyDescent="0.2">
      <c r="A17185" t="str">
        <f>"TSEN2"</f>
        <v>TSEN2</v>
      </c>
      <c r="B17185" t="s">
        <v>2</v>
      </c>
    </row>
    <row r="17186" spans="1:2" x14ac:dyDescent="0.2">
      <c r="A17186" t="str">
        <f>"TSEN34"</f>
        <v>TSEN34</v>
      </c>
      <c r="B17186" t="s">
        <v>6</v>
      </c>
    </row>
    <row r="17187" spans="1:2" x14ac:dyDescent="0.2">
      <c r="A17187" t="str">
        <f>"TSEN54"</f>
        <v>TSEN54</v>
      </c>
      <c r="B17187" t="s">
        <v>2</v>
      </c>
    </row>
    <row r="17188" spans="1:2" x14ac:dyDescent="0.2">
      <c r="A17188" t="str">
        <f>"TSFM"</f>
        <v>TSFM</v>
      </c>
      <c r="B17188" t="s">
        <v>2</v>
      </c>
    </row>
    <row r="17189" spans="1:2" x14ac:dyDescent="0.2">
      <c r="A17189" t="str">
        <f>"TSG101"</f>
        <v>TSG101</v>
      </c>
      <c r="B17189" t="s">
        <v>3</v>
      </c>
    </row>
    <row r="17190" spans="1:2" x14ac:dyDescent="0.2">
      <c r="A17190" t="str">
        <f>"TSGA10"</f>
        <v>TSGA10</v>
      </c>
      <c r="B17190" t="s">
        <v>6</v>
      </c>
    </row>
    <row r="17191" spans="1:2" x14ac:dyDescent="0.2">
      <c r="A17191" t="str">
        <f>"TSGA10IP"</f>
        <v>TSGA10IP</v>
      </c>
      <c r="B17191" t="s">
        <v>4</v>
      </c>
    </row>
    <row r="17192" spans="1:2" x14ac:dyDescent="0.2">
      <c r="A17192" t="str">
        <f>"TSGA13"</f>
        <v>TSGA13</v>
      </c>
      <c r="B17192" t="s">
        <v>4</v>
      </c>
    </row>
    <row r="17193" spans="1:2" x14ac:dyDescent="0.2">
      <c r="A17193" t="str">
        <f>"TSHB"</f>
        <v>TSHB</v>
      </c>
      <c r="B17193" t="s">
        <v>3</v>
      </c>
    </row>
    <row r="17194" spans="1:2" x14ac:dyDescent="0.2">
      <c r="A17194" t="str">
        <f>"TSHR"</f>
        <v>TSHR</v>
      </c>
      <c r="B17194" t="s">
        <v>3</v>
      </c>
    </row>
    <row r="17195" spans="1:2" x14ac:dyDescent="0.2">
      <c r="A17195" t="str">
        <f>"TSHZ1"</f>
        <v>TSHZ1</v>
      </c>
      <c r="B17195" t="s">
        <v>8</v>
      </c>
    </row>
    <row r="17196" spans="1:2" x14ac:dyDescent="0.2">
      <c r="A17196" t="str">
        <f>"TSHZ2"</f>
        <v>TSHZ2</v>
      </c>
      <c r="B17196" t="s">
        <v>8</v>
      </c>
    </row>
    <row r="17197" spans="1:2" x14ac:dyDescent="0.2">
      <c r="A17197" t="str">
        <f>"TSHZ3"</f>
        <v>TSHZ3</v>
      </c>
      <c r="B17197" t="s">
        <v>6</v>
      </c>
    </row>
    <row r="17198" spans="1:2" x14ac:dyDescent="0.2">
      <c r="A17198" t="str">
        <f>"TSKS"</f>
        <v>TSKS</v>
      </c>
      <c r="B17198" t="s">
        <v>7</v>
      </c>
    </row>
    <row r="17199" spans="1:2" x14ac:dyDescent="0.2">
      <c r="A17199" t="str">
        <f>"TSKU"</f>
        <v>TSKU</v>
      </c>
      <c r="B17199" t="s">
        <v>2</v>
      </c>
    </row>
    <row r="17200" spans="1:2" x14ac:dyDescent="0.2">
      <c r="A17200" t="str">
        <f>"TSLP"</f>
        <v>TSLP</v>
      </c>
      <c r="B17200" t="s">
        <v>4</v>
      </c>
    </row>
    <row r="17201" spans="1:2" x14ac:dyDescent="0.2">
      <c r="A17201" t="str">
        <f>"TSN"</f>
        <v>TSN</v>
      </c>
      <c r="B17201" t="s">
        <v>8</v>
      </c>
    </row>
    <row r="17202" spans="1:2" x14ac:dyDescent="0.2">
      <c r="A17202" t="str">
        <f>"TSNARE1"</f>
        <v>TSNARE1</v>
      </c>
      <c r="B17202" t="s">
        <v>2</v>
      </c>
    </row>
    <row r="17203" spans="1:2" x14ac:dyDescent="0.2">
      <c r="A17203" t="str">
        <f>"TSNAX"</f>
        <v>TSNAX</v>
      </c>
      <c r="B17203" t="s">
        <v>8</v>
      </c>
    </row>
    <row r="17204" spans="1:2" x14ac:dyDescent="0.2">
      <c r="A17204" t="str">
        <f>"TSNAXIP1"</f>
        <v>TSNAXIP1</v>
      </c>
      <c r="B17204" t="s">
        <v>4</v>
      </c>
    </row>
    <row r="17205" spans="1:2" x14ac:dyDescent="0.2">
      <c r="A17205" t="str">
        <f>"TSPAN1"</f>
        <v>TSPAN1</v>
      </c>
      <c r="B17205" t="s">
        <v>5</v>
      </c>
    </row>
    <row r="17206" spans="1:2" x14ac:dyDescent="0.2">
      <c r="A17206" t="str">
        <f>"TSPAN10"</f>
        <v>TSPAN10</v>
      </c>
      <c r="B17206" t="s">
        <v>5</v>
      </c>
    </row>
    <row r="17207" spans="1:2" x14ac:dyDescent="0.2">
      <c r="A17207" t="str">
        <f>"TSPAN11"</f>
        <v>TSPAN11</v>
      </c>
      <c r="B17207" t="s">
        <v>4</v>
      </c>
    </row>
    <row r="17208" spans="1:2" x14ac:dyDescent="0.2">
      <c r="A17208" t="str">
        <f>"TSPAN12"</f>
        <v>TSPAN12</v>
      </c>
      <c r="B17208" t="s">
        <v>5</v>
      </c>
    </row>
    <row r="17209" spans="1:2" x14ac:dyDescent="0.2">
      <c r="A17209" t="str">
        <f>"TSPAN13"</f>
        <v>TSPAN13</v>
      </c>
      <c r="B17209" t="s">
        <v>2</v>
      </c>
    </row>
    <row r="17210" spans="1:2" x14ac:dyDescent="0.2">
      <c r="A17210" t="str">
        <f>"TSPAN14"</f>
        <v>TSPAN14</v>
      </c>
      <c r="B17210" t="s">
        <v>5</v>
      </c>
    </row>
    <row r="17211" spans="1:2" x14ac:dyDescent="0.2">
      <c r="A17211" t="str">
        <f>"TSPAN15"</f>
        <v>TSPAN15</v>
      </c>
      <c r="B17211" t="s">
        <v>5</v>
      </c>
    </row>
    <row r="17212" spans="1:2" x14ac:dyDescent="0.2">
      <c r="A17212" t="str">
        <f>"TSPAN16"</f>
        <v>TSPAN16</v>
      </c>
      <c r="B17212" t="s">
        <v>5</v>
      </c>
    </row>
    <row r="17213" spans="1:2" x14ac:dyDescent="0.2">
      <c r="A17213" t="str">
        <f>"TSPAN17"</f>
        <v>TSPAN17</v>
      </c>
      <c r="B17213" t="s">
        <v>2</v>
      </c>
    </row>
    <row r="17214" spans="1:2" x14ac:dyDescent="0.2">
      <c r="A17214" t="str">
        <f>"TSPAN18"</f>
        <v>TSPAN18</v>
      </c>
      <c r="B17214" t="s">
        <v>5</v>
      </c>
    </row>
    <row r="17215" spans="1:2" x14ac:dyDescent="0.2">
      <c r="A17215" t="str">
        <f>"TSPAN19"</f>
        <v>TSPAN19</v>
      </c>
      <c r="B17215" t="s">
        <v>5</v>
      </c>
    </row>
    <row r="17216" spans="1:2" x14ac:dyDescent="0.2">
      <c r="A17216" t="str">
        <f>"TSPAN2"</f>
        <v>TSPAN2</v>
      </c>
      <c r="B17216" t="s">
        <v>5</v>
      </c>
    </row>
    <row r="17217" spans="1:2" x14ac:dyDescent="0.2">
      <c r="A17217" t="str">
        <f>"TSPAN3"</f>
        <v>TSPAN3</v>
      </c>
      <c r="B17217" t="s">
        <v>5</v>
      </c>
    </row>
    <row r="17218" spans="1:2" x14ac:dyDescent="0.2">
      <c r="A17218" t="str">
        <f>"TSPAN31"</f>
        <v>TSPAN31</v>
      </c>
      <c r="B17218" t="s">
        <v>3</v>
      </c>
    </row>
    <row r="17219" spans="1:2" x14ac:dyDescent="0.2">
      <c r="A17219" t="str">
        <f>"TSPAN32"</f>
        <v>TSPAN32</v>
      </c>
      <c r="B17219" t="s">
        <v>5</v>
      </c>
    </row>
    <row r="17220" spans="1:2" x14ac:dyDescent="0.2">
      <c r="A17220" t="str">
        <f>"TSPAN33"</f>
        <v>TSPAN33</v>
      </c>
      <c r="B17220" t="s">
        <v>4</v>
      </c>
    </row>
    <row r="17221" spans="1:2" x14ac:dyDescent="0.2">
      <c r="A17221" t="str">
        <f>"TSPAN4"</f>
        <v>TSPAN4</v>
      </c>
      <c r="B17221" t="s">
        <v>5</v>
      </c>
    </row>
    <row r="17222" spans="1:2" x14ac:dyDescent="0.2">
      <c r="A17222" t="str">
        <f>"TSPAN5"</f>
        <v>TSPAN5</v>
      </c>
      <c r="B17222" t="s">
        <v>5</v>
      </c>
    </row>
    <row r="17223" spans="1:2" x14ac:dyDescent="0.2">
      <c r="A17223" t="str">
        <f>"TSPAN6"</f>
        <v>TSPAN6</v>
      </c>
      <c r="B17223" t="s">
        <v>5</v>
      </c>
    </row>
    <row r="17224" spans="1:2" x14ac:dyDescent="0.2">
      <c r="A17224" t="str">
        <f>"TSPAN7"</f>
        <v>TSPAN7</v>
      </c>
      <c r="B17224" t="s">
        <v>5</v>
      </c>
    </row>
    <row r="17225" spans="1:2" x14ac:dyDescent="0.2">
      <c r="A17225" t="str">
        <f>"TSPAN8"</f>
        <v>TSPAN8</v>
      </c>
      <c r="B17225" t="s">
        <v>2</v>
      </c>
    </row>
    <row r="17226" spans="1:2" x14ac:dyDescent="0.2">
      <c r="A17226" t="str">
        <f>"TSPAN9"</f>
        <v>TSPAN9</v>
      </c>
      <c r="B17226" t="s">
        <v>5</v>
      </c>
    </row>
    <row r="17227" spans="1:2" x14ac:dyDescent="0.2">
      <c r="A17227" t="str">
        <f>"TSPEAR"</f>
        <v>TSPEAR</v>
      </c>
      <c r="B17227" t="s">
        <v>3</v>
      </c>
    </row>
    <row r="17228" spans="1:2" x14ac:dyDescent="0.2">
      <c r="A17228" t="str">
        <f>"TSPO"</f>
        <v>TSPO</v>
      </c>
      <c r="B17228" t="s">
        <v>7</v>
      </c>
    </row>
    <row r="17229" spans="1:2" x14ac:dyDescent="0.2">
      <c r="A17229" t="str">
        <f>"TSPO2"</f>
        <v>TSPO2</v>
      </c>
      <c r="B17229" t="s">
        <v>5</v>
      </c>
    </row>
    <row r="17230" spans="1:2" x14ac:dyDescent="0.2">
      <c r="A17230" t="str">
        <f>"TSPY1"</f>
        <v>TSPY1</v>
      </c>
      <c r="B17230" t="s">
        <v>4</v>
      </c>
    </row>
    <row r="17231" spans="1:2" x14ac:dyDescent="0.2">
      <c r="A17231" t="str">
        <f>"TSPYL1"</f>
        <v>TSPYL1</v>
      </c>
      <c r="B17231" t="s">
        <v>8</v>
      </c>
    </row>
    <row r="17232" spans="1:2" x14ac:dyDescent="0.2">
      <c r="A17232" t="str">
        <f>"TSPYL2"</f>
        <v>TSPYL2</v>
      </c>
      <c r="B17232" t="s">
        <v>3</v>
      </c>
    </row>
    <row r="17233" spans="1:2" x14ac:dyDescent="0.2">
      <c r="A17233" t="str">
        <f>"TSPYL4"</f>
        <v>TSPYL4</v>
      </c>
      <c r="B17233" t="s">
        <v>8</v>
      </c>
    </row>
    <row r="17234" spans="1:2" x14ac:dyDescent="0.2">
      <c r="A17234" t="str">
        <f>"TSPYL5"</f>
        <v>TSPYL5</v>
      </c>
      <c r="B17234" t="s">
        <v>5</v>
      </c>
    </row>
    <row r="17235" spans="1:2" x14ac:dyDescent="0.2">
      <c r="A17235" t="str">
        <f>"TSPYL6"</f>
        <v>TSPYL6</v>
      </c>
      <c r="B17235" t="s">
        <v>4</v>
      </c>
    </row>
    <row r="17236" spans="1:2" x14ac:dyDescent="0.2">
      <c r="A17236" t="str">
        <f>"TSR1"</f>
        <v>TSR1</v>
      </c>
      <c r="B17236" t="s">
        <v>3</v>
      </c>
    </row>
    <row r="17237" spans="1:2" x14ac:dyDescent="0.2">
      <c r="A17237" t="str">
        <f>"TSR2"</f>
        <v>TSR2</v>
      </c>
      <c r="B17237" t="s">
        <v>4</v>
      </c>
    </row>
    <row r="17238" spans="1:2" x14ac:dyDescent="0.2">
      <c r="A17238" t="str">
        <f>"TSR3"</f>
        <v>TSR3</v>
      </c>
      <c r="B17238" t="s">
        <v>4</v>
      </c>
    </row>
    <row r="17239" spans="1:2" x14ac:dyDescent="0.2">
      <c r="A17239" t="str">
        <f>"TSSC1"</f>
        <v>TSSC1</v>
      </c>
      <c r="B17239" t="s">
        <v>4</v>
      </c>
    </row>
    <row r="17240" spans="1:2" x14ac:dyDescent="0.2">
      <c r="A17240" t="str">
        <f>"TSSC4"</f>
        <v>TSSC4</v>
      </c>
      <c r="B17240" t="s">
        <v>4</v>
      </c>
    </row>
    <row r="17241" spans="1:2" x14ac:dyDescent="0.2">
      <c r="A17241" t="str">
        <f>"TSSK1B"</f>
        <v>TSSK1B</v>
      </c>
      <c r="B17241" t="s">
        <v>7</v>
      </c>
    </row>
    <row r="17242" spans="1:2" x14ac:dyDescent="0.2">
      <c r="A17242" t="str">
        <f>"TSSK2"</f>
        <v>TSSK2</v>
      </c>
      <c r="B17242" t="s">
        <v>7</v>
      </c>
    </row>
    <row r="17243" spans="1:2" x14ac:dyDescent="0.2">
      <c r="A17243" t="str">
        <f>"TSSK3"</f>
        <v>TSSK3</v>
      </c>
      <c r="B17243" t="s">
        <v>7</v>
      </c>
    </row>
    <row r="17244" spans="1:2" x14ac:dyDescent="0.2">
      <c r="A17244" t="str">
        <f>"TSSK4"</f>
        <v>TSSK4</v>
      </c>
      <c r="B17244" t="s">
        <v>7</v>
      </c>
    </row>
    <row r="17245" spans="1:2" x14ac:dyDescent="0.2">
      <c r="A17245" t="str">
        <f>"TSSK6"</f>
        <v>TSSK6</v>
      </c>
      <c r="B17245" t="s">
        <v>7</v>
      </c>
    </row>
    <row r="17246" spans="1:2" x14ac:dyDescent="0.2">
      <c r="A17246" t="str">
        <f>"TST"</f>
        <v>TST</v>
      </c>
      <c r="B17246" t="s">
        <v>7</v>
      </c>
    </row>
    <row r="17247" spans="1:2" x14ac:dyDescent="0.2">
      <c r="A17247" t="str">
        <f>"TSTA3"</f>
        <v>TSTA3</v>
      </c>
      <c r="B17247" t="s">
        <v>7</v>
      </c>
    </row>
    <row r="17248" spans="1:2" x14ac:dyDescent="0.2">
      <c r="A17248" t="str">
        <f>"TSTD1"</f>
        <v>TSTD1</v>
      </c>
      <c r="B17248" t="s">
        <v>2</v>
      </c>
    </row>
    <row r="17249" spans="1:2" x14ac:dyDescent="0.2">
      <c r="A17249" t="str">
        <f>"TSTD2"</f>
        <v>TSTD2</v>
      </c>
      <c r="B17249" t="s">
        <v>4</v>
      </c>
    </row>
    <row r="17250" spans="1:2" x14ac:dyDescent="0.2">
      <c r="A17250" t="str">
        <f>"TSTD3"</f>
        <v>TSTD3</v>
      </c>
      <c r="B17250" t="s">
        <v>4</v>
      </c>
    </row>
    <row r="17251" spans="1:2" x14ac:dyDescent="0.2">
      <c r="A17251" t="str">
        <f>"TTBK1"</f>
        <v>TTBK1</v>
      </c>
      <c r="B17251" t="s">
        <v>7</v>
      </c>
    </row>
    <row r="17252" spans="1:2" x14ac:dyDescent="0.2">
      <c r="A17252" t="str">
        <f>"TTBK2"</f>
        <v>TTBK2</v>
      </c>
      <c r="B17252" t="s">
        <v>7</v>
      </c>
    </row>
    <row r="17253" spans="1:2" x14ac:dyDescent="0.2">
      <c r="A17253" t="str">
        <f>"TTC1"</f>
        <v>TTC1</v>
      </c>
      <c r="B17253" t="s">
        <v>2</v>
      </c>
    </row>
    <row r="17254" spans="1:2" x14ac:dyDescent="0.2">
      <c r="A17254" t="str">
        <f>"TTC12"</f>
        <v>TTC12</v>
      </c>
      <c r="B17254" t="s">
        <v>4</v>
      </c>
    </row>
    <row r="17255" spans="1:2" x14ac:dyDescent="0.2">
      <c r="A17255" t="str">
        <f>"TTC13"</f>
        <v>TTC13</v>
      </c>
      <c r="B17255" t="s">
        <v>4</v>
      </c>
    </row>
    <row r="17256" spans="1:2" x14ac:dyDescent="0.2">
      <c r="A17256" t="str">
        <f>"TTC14"</f>
        <v>TTC14</v>
      </c>
      <c r="B17256" t="s">
        <v>2</v>
      </c>
    </row>
    <row r="17257" spans="1:2" x14ac:dyDescent="0.2">
      <c r="A17257" t="str">
        <f>"TTC16"</f>
        <v>TTC16</v>
      </c>
      <c r="B17257" t="s">
        <v>2</v>
      </c>
    </row>
    <row r="17258" spans="1:2" x14ac:dyDescent="0.2">
      <c r="A17258" t="str">
        <f>"TTC17"</f>
        <v>TTC17</v>
      </c>
      <c r="B17258" t="s">
        <v>4</v>
      </c>
    </row>
    <row r="17259" spans="1:2" x14ac:dyDescent="0.2">
      <c r="A17259" t="str">
        <f>"TTC18"</f>
        <v>TTC18</v>
      </c>
      <c r="B17259" t="s">
        <v>2</v>
      </c>
    </row>
    <row r="17260" spans="1:2" x14ac:dyDescent="0.2">
      <c r="A17260" t="str">
        <f>"TTC19"</f>
        <v>TTC19</v>
      </c>
      <c r="B17260" t="s">
        <v>6</v>
      </c>
    </row>
    <row r="17261" spans="1:2" x14ac:dyDescent="0.2">
      <c r="A17261" t="str">
        <f>"TTC21A"</f>
        <v>TTC21A</v>
      </c>
      <c r="B17261" t="s">
        <v>4</v>
      </c>
    </row>
    <row r="17262" spans="1:2" x14ac:dyDescent="0.2">
      <c r="A17262" t="str">
        <f>"TTC21B"</f>
        <v>TTC21B</v>
      </c>
      <c r="B17262" t="s">
        <v>4</v>
      </c>
    </row>
    <row r="17263" spans="1:2" x14ac:dyDescent="0.2">
      <c r="A17263" t="str">
        <f>"TTC22"</f>
        <v>TTC22</v>
      </c>
      <c r="B17263" t="s">
        <v>4</v>
      </c>
    </row>
    <row r="17264" spans="1:2" x14ac:dyDescent="0.2">
      <c r="A17264" t="str">
        <f>"TTC23"</f>
        <v>TTC23</v>
      </c>
      <c r="B17264" t="s">
        <v>4</v>
      </c>
    </row>
    <row r="17265" spans="1:2" x14ac:dyDescent="0.2">
      <c r="A17265" t="str">
        <f>"TTC23L"</f>
        <v>TTC23L</v>
      </c>
      <c r="B17265" t="s">
        <v>4</v>
      </c>
    </row>
    <row r="17266" spans="1:2" x14ac:dyDescent="0.2">
      <c r="A17266" t="str">
        <f>"TTC24"</f>
        <v>TTC24</v>
      </c>
      <c r="B17266" t="s">
        <v>2</v>
      </c>
    </row>
    <row r="17267" spans="1:2" x14ac:dyDescent="0.2">
      <c r="A17267" t="str">
        <f>"TTC25"</f>
        <v>TTC25</v>
      </c>
      <c r="B17267" t="s">
        <v>4</v>
      </c>
    </row>
    <row r="17268" spans="1:2" x14ac:dyDescent="0.2">
      <c r="A17268" t="str">
        <f>"TTC26"</f>
        <v>TTC26</v>
      </c>
      <c r="B17268" t="s">
        <v>4</v>
      </c>
    </row>
    <row r="17269" spans="1:2" x14ac:dyDescent="0.2">
      <c r="A17269" t="str">
        <f>"TTC27"</f>
        <v>TTC27</v>
      </c>
      <c r="B17269" t="s">
        <v>4</v>
      </c>
    </row>
    <row r="17270" spans="1:2" x14ac:dyDescent="0.2">
      <c r="A17270" t="str">
        <f>"TTC28"</f>
        <v>TTC28</v>
      </c>
      <c r="B17270" t="s">
        <v>2</v>
      </c>
    </row>
    <row r="17271" spans="1:2" x14ac:dyDescent="0.2">
      <c r="A17271" t="str">
        <f>"TTC29"</f>
        <v>TTC29</v>
      </c>
      <c r="B17271" t="s">
        <v>4</v>
      </c>
    </row>
    <row r="17272" spans="1:2" x14ac:dyDescent="0.2">
      <c r="A17272" t="str">
        <f>"TTC3"</f>
        <v>TTC3</v>
      </c>
      <c r="B17272" t="s">
        <v>2</v>
      </c>
    </row>
    <row r="17273" spans="1:2" x14ac:dyDescent="0.2">
      <c r="A17273" t="str">
        <f>"TTC30A"</f>
        <v>TTC30A</v>
      </c>
      <c r="B17273" t="s">
        <v>4</v>
      </c>
    </row>
    <row r="17274" spans="1:2" x14ac:dyDescent="0.2">
      <c r="A17274" t="str">
        <f>"TTC30B"</f>
        <v>TTC30B</v>
      </c>
      <c r="B17274" t="s">
        <v>2</v>
      </c>
    </row>
    <row r="17275" spans="1:2" x14ac:dyDescent="0.2">
      <c r="A17275" t="str">
        <f>"TTC31"</f>
        <v>TTC31</v>
      </c>
      <c r="B17275" t="s">
        <v>4</v>
      </c>
    </row>
    <row r="17276" spans="1:2" x14ac:dyDescent="0.2">
      <c r="A17276" t="str">
        <f>"TTC32"</f>
        <v>TTC32</v>
      </c>
      <c r="B17276" t="s">
        <v>2</v>
      </c>
    </row>
    <row r="17277" spans="1:2" x14ac:dyDescent="0.2">
      <c r="A17277" t="str">
        <f>"TTC33"</f>
        <v>TTC33</v>
      </c>
      <c r="B17277" t="s">
        <v>4</v>
      </c>
    </row>
    <row r="17278" spans="1:2" x14ac:dyDescent="0.2">
      <c r="A17278" t="str">
        <f>"TTC34"</f>
        <v>TTC34</v>
      </c>
      <c r="B17278" t="s">
        <v>4</v>
      </c>
    </row>
    <row r="17279" spans="1:2" x14ac:dyDescent="0.2">
      <c r="A17279" t="str">
        <f>"TTC36"</f>
        <v>TTC36</v>
      </c>
      <c r="B17279" t="s">
        <v>2</v>
      </c>
    </row>
    <row r="17280" spans="1:2" x14ac:dyDescent="0.2">
      <c r="A17280" t="str">
        <f>"TTC37"</f>
        <v>TTC37</v>
      </c>
      <c r="B17280" t="s">
        <v>6</v>
      </c>
    </row>
    <row r="17281" spans="1:2" x14ac:dyDescent="0.2">
      <c r="A17281" t="str">
        <f>"TTC38"</f>
        <v>TTC38</v>
      </c>
      <c r="B17281" t="s">
        <v>3</v>
      </c>
    </row>
    <row r="17282" spans="1:2" x14ac:dyDescent="0.2">
      <c r="A17282" t="str">
        <f>"TTC39A"</f>
        <v>TTC39A</v>
      </c>
      <c r="B17282" t="s">
        <v>2</v>
      </c>
    </row>
    <row r="17283" spans="1:2" x14ac:dyDescent="0.2">
      <c r="A17283" t="str">
        <f>"TTC39B"</f>
        <v>TTC39B</v>
      </c>
      <c r="B17283" t="s">
        <v>4</v>
      </c>
    </row>
    <row r="17284" spans="1:2" x14ac:dyDescent="0.2">
      <c r="A17284" t="str">
        <f>"TTC39C"</f>
        <v>TTC39C</v>
      </c>
      <c r="B17284" t="s">
        <v>4</v>
      </c>
    </row>
    <row r="17285" spans="1:2" x14ac:dyDescent="0.2">
      <c r="A17285" t="str">
        <f>"TTC4"</f>
        <v>TTC4</v>
      </c>
      <c r="B17285" t="s">
        <v>2</v>
      </c>
    </row>
    <row r="17286" spans="1:2" x14ac:dyDescent="0.2">
      <c r="A17286" t="str">
        <f>"TTC40"</f>
        <v>TTC40</v>
      </c>
      <c r="B17286" t="s">
        <v>4</v>
      </c>
    </row>
    <row r="17287" spans="1:2" x14ac:dyDescent="0.2">
      <c r="A17287" t="str">
        <f>"TTC5"</f>
        <v>TTC5</v>
      </c>
      <c r="B17287" t="s">
        <v>3</v>
      </c>
    </row>
    <row r="17288" spans="1:2" x14ac:dyDescent="0.2">
      <c r="A17288" t="str">
        <f>"TTC6"</f>
        <v>TTC6</v>
      </c>
      <c r="B17288" t="s">
        <v>2</v>
      </c>
    </row>
    <row r="17289" spans="1:2" x14ac:dyDescent="0.2">
      <c r="A17289" t="str">
        <f>"TTC7A"</f>
        <v>TTC7A</v>
      </c>
      <c r="B17289" t="s">
        <v>4</v>
      </c>
    </row>
    <row r="17290" spans="1:2" x14ac:dyDescent="0.2">
      <c r="A17290" t="str">
        <f>"TTC7B"</f>
        <v>TTC7B</v>
      </c>
      <c r="B17290" t="s">
        <v>2</v>
      </c>
    </row>
    <row r="17291" spans="1:2" x14ac:dyDescent="0.2">
      <c r="A17291" t="str">
        <f>"TTC8"</f>
        <v>TTC8</v>
      </c>
      <c r="B17291" t="s">
        <v>3</v>
      </c>
    </row>
    <row r="17292" spans="1:2" x14ac:dyDescent="0.2">
      <c r="A17292" t="str">
        <f>"TTC9"</f>
        <v>TTC9</v>
      </c>
      <c r="B17292" t="s">
        <v>2</v>
      </c>
    </row>
    <row r="17293" spans="1:2" x14ac:dyDescent="0.2">
      <c r="A17293" t="str">
        <f>"TTC9B"</f>
        <v>TTC9B</v>
      </c>
      <c r="B17293" t="s">
        <v>2</v>
      </c>
    </row>
    <row r="17294" spans="1:2" x14ac:dyDescent="0.2">
      <c r="A17294" t="str">
        <f>"TTC9C"</f>
        <v>TTC9C</v>
      </c>
      <c r="B17294" t="s">
        <v>2</v>
      </c>
    </row>
    <row r="17295" spans="1:2" x14ac:dyDescent="0.2">
      <c r="A17295" t="str">
        <f>"TTF1"</f>
        <v>TTF1</v>
      </c>
      <c r="B17295" t="s">
        <v>2</v>
      </c>
    </row>
    <row r="17296" spans="1:2" x14ac:dyDescent="0.2">
      <c r="A17296" t="str">
        <f>"TTF2"</f>
        <v>TTF2</v>
      </c>
      <c r="B17296" t="s">
        <v>8</v>
      </c>
    </row>
    <row r="17297" spans="1:2" x14ac:dyDescent="0.2">
      <c r="A17297" t="str">
        <f>"TTI1"</f>
        <v>TTI1</v>
      </c>
      <c r="B17297" t="s">
        <v>4</v>
      </c>
    </row>
    <row r="17298" spans="1:2" x14ac:dyDescent="0.2">
      <c r="A17298" t="str">
        <f>"TTI2"</f>
        <v>TTI2</v>
      </c>
      <c r="B17298" t="s">
        <v>4</v>
      </c>
    </row>
    <row r="17299" spans="1:2" x14ac:dyDescent="0.2">
      <c r="A17299" t="str">
        <f>"TTK"</f>
        <v>TTK</v>
      </c>
      <c r="B17299" t="s">
        <v>7</v>
      </c>
    </row>
    <row r="17300" spans="1:2" x14ac:dyDescent="0.2">
      <c r="A17300" t="str">
        <f>"TTL"</f>
        <v>TTL</v>
      </c>
      <c r="B17300" t="s">
        <v>3</v>
      </c>
    </row>
    <row r="17301" spans="1:2" x14ac:dyDescent="0.2">
      <c r="A17301" t="str">
        <f>"TTLL1"</f>
        <v>TTLL1</v>
      </c>
      <c r="B17301" t="s">
        <v>6</v>
      </c>
    </row>
    <row r="17302" spans="1:2" x14ac:dyDescent="0.2">
      <c r="A17302" t="str">
        <f>"TTLL10"</f>
        <v>TTLL10</v>
      </c>
      <c r="B17302" t="s">
        <v>4</v>
      </c>
    </row>
    <row r="17303" spans="1:2" x14ac:dyDescent="0.2">
      <c r="A17303" t="str">
        <f>"TTLL11"</f>
        <v>TTLL11</v>
      </c>
      <c r="B17303" t="s">
        <v>4</v>
      </c>
    </row>
    <row r="17304" spans="1:2" x14ac:dyDescent="0.2">
      <c r="A17304" t="str">
        <f>"TTLL12"</f>
        <v>TTLL12</v>
      </c>
      <c r="B17304" t="s">
        <v>3</v>
      </c>
    </row>
    <row r="17305" spans="1:2" x14ac:dyDescent="0.2">
      <c r="A17305" t="str">
        <f>"TTLL13"</f>
        <v>TTLL13</v>
      </c>
      <c r="B17305" t="s">
        <v>4</v>
      </c>
    </row>
    <row r="17306" spans="1:2" x14ac:dyDescent="0.2">
      <c r="A17306" t="str">
        <f>"TTLL2"</f>
        <v>TTLL2</v>
      </c>
      <c r="B17306" t="s">
        <v>2</v>
      </c>
    </row>
    <row r="17307" spans="1:2" x14ac:dyDescent="0.2">
      <c r="A17307" t="str">
        <f>"TTLL3"</f>
        <v>TTLL3</v>
      </c>
      <c r="B17307" t="s">
        <v>6</v>
      </c>
    </row>
    <row r="17308" spans="1:2" x14ac:dyDescent="0.2">
      <c r="A17308" t="str">
        <f>"TTLL4"</f>
        <v>TTLL4</v>
      </c>
      <c r="B17308" t="s">
        <v>4</v>
      </c>
    </row>
    <row r="17309" spans="1:2" x14ac:dyDescent="0.2">
      <c r="A17309" t="str">
        <f>"TTLL5"</f>
        <v>TTLL5</v>
      </c>
      <c r="B17309" t="s">
        <v>3</v>
      </c>
    </row>
    <row r="17310" spans="1:2" x14ac:dyDescent="0.2">
      <c r="A17310" t="str">
        <f>"TTLL6"</f>
        <v>TTLL6</v>
      </c>
      <c r="B17310" t="s">
        <v>4</v>
      </c>
    </row>
    <row r="17311" spans="1:2" x14ac:dyDescent="0.2">
      <c r="A17311" t="str">
        <f>"TTLL7"</f>
        <v>TTLL7</v>
      </c>
      <c r="B17311" t="s">
        <v>4</v>
      </c>
    </row>
    <row r="17312" spans="1:2" x14ac:dyDescent="0.2">
      <c r="A17312" t="str">
        <f>"TTLL8"</f>
        <v>TTLL8</v>
      </c>
      <c r="B17312" t="s">
        <v>4</v>
      </c>
    </row>
    <row r="17313" spans="1:2" x14ac:dyDescent="0.2">
      <c r="A17313" t="str">
        <f>"TTLL9"</f>
        <v>TTLL9</v>
      </c>
      <c r="B17313" t="s">
        <v>4</v>
      </c>
    </row>
    <row r="17314" spans="1:2" x14ac:dyDescent="0.2">
      <c r="A17314" t="str">
        <f>"TTN"</f>
        <v>TTN</v>
      </c>
      <c r="B17314" t="s">
        <v>7</v>
      </c>
    </row>
    <row r="17315" spans="1:2" x14ac:dyDescent="0.2">
      <c r="A17315" t="str">
        <f>"TTPA"</f>
        <v>TTPA</v>
      </c>
      <c r="B17315" t="s">
        <v>6</v>
      </c>
    </row>
    <row r="17316" spans="1:2" x14ac:dyDescent="0.2">
      <c r="A17316" t="str">
        <f>"TTPAL"</f>
        <v>TTPAL</v>
      </c>
      <c r="B17316" t="s">
        <v>4</v>
      </c>
    </row>
    <row r="17317" spans="1:2" x14ac:dyDescent="0.2">
      <c r="A17317" t="str">
        <f>"TTR"</f>
        <v>TTR</v>
      </c>
      <c r="B17317" t="s">
        <v>6</v>
      </c>
    </row>
    <row r="17318" spans="1:2" x14ac:dyDescent="0.2">
      <c r="A17318" t="str">
        <f>"TTYH1"</f>
        <v>TTYH1</v>
      </c>
      <c r="B17318" t="s">
        <v>5</v>
      </c>
    </row>
    <row r="17319" spans="1:2" x14ac:dyDescent="0.2">
      <c r="A17319" t="str">
        <f>"TTYH2"</f>
        <v>TTYH2</v>
      </c>
      <c r="B17319" t="s">
        <v>5</v>
      </c>
    </row>
    <row r="17320" spans="1:2" x14ac:dyDescent="0.2">
      <c r="A17320" t="str">
        <f>"TTYH3"</f>
        <v>TTYH3</v>
      </c>
      <c r="B17320" t="s">
        <v>5</v>
      </c>
    </row>
    <row r="17321" spans="1:2" x14ac:dyDescent="0.2">
      <c r="A17321" t="str">
        <f>"TUB"</f>
        <v>TUB</v>
      </c>
      <c r="B17321" t="s">
        <v>7</v>
      </c>
    </row>
    <row r="17322" spans="1:2" x14ac:dyDescent="0.2">
      <c r="A17322" t="str">
        <f>"TUBA1A"</f>
        <v>TUBA1A</v>
      </c>
      <c r="B17322" t="s">
        <v>3</v>
      </c>
    </row>
    <row r="17323" spans="1:2" x14ac:dyDescent="0.2">
      <c r="A17323" t="str">
        <f>"TUBA1B"</f>
        <v>TUBA1B</v>
      </c>
      <c r="B17323" t="s">
        <v>7</v>
      </c>
    </row>
    <row r="17324" spans="1:2" x14ac:dyDescent="0.2">
      <c r="A17324" t="str">
        <f>"TUBA1C"</f>
        <v>TUBA1C</v>
      </c>
      <c r="B17324" t="s">
        <v>3</v>
      </c>
    </row>
    <row r="17325" spans="1:2" x14ac:dyDescent="0.2">
      <c r="A17325" t="str">
        <f>"TUBA3C"</f>
        <v>TUBA3C</v>
      </c>
      <c r="B17325" t="s">
        <v>7</v>
      </c>
    </row>
    <row r="17326" spans="1:2" x14ac:dyDescent="0.2">
      <c r="A17326" t="str">
        <f>"TUBA3D"</f>
        <v>TUBA3D</v>
      </c>
      <c r="B17326" t="s">
        <v>2</v>
      </c>
    </row>
    <row r="17327" spans="1:2" x14ac:dyDescent="0.2">
      <c r="A17327" t="str">
        <f>"TUBA3E"</f>
        <v>TUBA3E</v>
      </c>
      <c r="B17327" t="s">
        <v>6</v>
      </c>
    </row>
    <row r="17328" spans="1:2" x14ac:dyDescent="0.2">
      <c r="A17328" t="str">
        <f>"TUBA4A"</f>
        <v>TUBA4A</v>
      </c>
      <c r="B17328" t="s">
        <v>7</v>
      </c>
    </row>
    <row r="17329" spans="1:2" x14ac:dyDescent="0.2">
      <c r="A17329" t="str">
        <f>"TUBA8"</f>
        <v>TUBA8</v>
      </c>
      <c r="B17329" t="s">
        <v>7</v>
      </c>
    </row>
    <row r="17330" spans="1:2" x14ac:dyDescent="0.2">
      <c r="A17330" t="str">
        <f>"TUBAL3"</f>
        <v>TUBAL3</v>
      </c>
      <c r="B17330" t="s">
        <v>6</v>
      </c>
    </row>
    <row r="17331" spans="1:2" x14ac:dyDescent="0.2">
      <c r="A17331" t="str">
        <f>"TUBB"</f>
        <v>TUBB</v>
      </c>
      <c r="B17331" t="s">
        <v>7</v>
      </c>
    </row>
    <row r="17332" spans="1:2" x14ac:dyDescent="0.2">
      <c r="A17332" t="str">
        <f>"TUBB1"</f>
        <v>TUBB1</v>
      </c>
      <c r="B17332" t="s">
        <v>7</v>
      </c>
    </row>
    <row r="17333" spans="1:2" x14ac:dyDescent="0.2">
      <c r="A17333" t="str">
        <f>"TUBB2A"</f>
        <v>TUBB2A</v>
      </c>
      <c r="B17333" t="s">
        <v>2</v>
      </c>
    </row>
    <row r="17334" spans="1:2" x14ac:dyDescent="0.2">
      <c r="A17334" t="str">
        <f>"TUBB2B"</f>
        <v>TUBB2B</v>
      </c>
      <c r="B17334" t="s">
        <v>7</v>
      </c>
    </row>
    <row r="17335" spans="1:2" x14ac:dyDescent="0.2">
      <c r="A17335" t="str">
        <f>"TUBB3"</f>
        <v>TUBB3</v>
      </c>
      <c r="B17335" t="s">
        <v>7</v>
      </c>
    </row>
    <row r="17336" spans="1:2" x14ac:dyDescent="0.2">
      <c r="A17336" t="str">
        <f>"TUBB4A"</f>
        <v>TUBB4A</v>
      </c>
      <c r="B17336" t="s">
        <v>2</v>
      </c>
    </row>
    <row r="17337" spans="1:2" x14ac:dyDescent="0.2">
      <c r="A17337" t="str">
        <f>"TUBB4B"</f>
        <v>TUBB4B</v>
      </c>
      <c r="B17337" t="s">
        <v>2</v>
      </c>
    </row>
    <row r="17338" spans="1:2" x14ac:dyDescent="0.2">
      <c r="A17338" t="str">
        <f>"TUBB6"</f>
        <v>TUBB6</v>
      </c>
      <c r="B17338" t="s">
        <v>2</v>
      </c>
    </row>
    <row r="17339" spans="1:2" x14ac:dyDescent="0.2">
      <c r="A17339" t="str">
        <f>"TUBB8"</f>
        <v>TUBB8</v>
      </c>
      <c r="B17339" t="s">
        <v>6</v>
      </c>
    </row>
    <row r="17340" spans="1:2" x14ac:dyDescent="0.2">
      <c r="A17340" t="str">
        <f>"TUBD1"</f>
        <v>TUBD1</v>
      </c>
      <c r="B17340" t="s">
        <v>3</v>
      </c>
    </row>
    <row r="17341" spans="1:2" x14ac:dyDescent="0.2">
      <c r="A17341" t="str">
        <f>"TUBE1"</f>
        <v>TUBE1</v>
      </c>
      <c r="B17341" t="s">
        <v>3</v>
      </c>
    </row>
    <row r="17342" spans="1:2" x14ac:dyDescent="0.2">
      <c r="A17342" t="str">
        <f>"TUBG1"</f>
        <v>TUBG1</v>
      </c>
      <c r="B17342" t="s">
        <v>3</v>
      </c>
    </row>
    <row r="17343" spans="1:2" x14ac:dyDescent="0.2">
      <c r="A17343" t="str">
        <f>"TUBG2"</f>
        <v>TUBG2</v>
      </c>
      <c r="B17343" t="s">
        <v>6</v>
      </c>
    </row>
    <row r="17344" spans="1:2" x14ac:dyDescent="0.2">
      <c r="A17344" t="str">
        <f>"TUBGCP2"</f>
        <v>TUBGCP2</v>
      </c>
      <c r="B17344" t="s">
        <v>3</v>
      </c>
    </row>
    <row r="17345" spans="1:2" x14ac:dyDescent="0.2">
      <c r="A17345" t="str">
        <f>"TUBGCP3"</f>
        <v>TUBGCP3</v>
      </c>
      <c r="B17345" t="s">
        <v>3</v>
      </c>
    </row>
    <row r="17346" spans="1:2" x14ac:dyDescent="0.2">
      <c r="A17346" t="str">
        <f>"TUBGCP4"</f>
        <v>TUBGCP4</v>
      </c>
      <c r="B17346" t="s">
        <v>3</v>
      </c>
    </row>
    <row r="17347" spans="1:2" x14ac:dyDescent="0.2">
      <c r="A17347" t="str">
        <f>"TUBGCP5"</f>
        <v>TUBGCP5</v>
      </c>
      <c r="B17347" t="s">
        <v>3</v>
      </c>
    </row>
    <row r="17348" spans="1:2" x14ac:dyDescent="0.2">
      <c r="A17348" t="str">
        <f>"TUBGCP6"</f>
        <v>TUBGCP6</v>
      </c>
      <c r="B17348" t="s">
        <v>3</v>
      </c>
    </row>
    <row r="17349" spans="1:2" x14ac:dyDescent="0.2">
      <c r="A17349" t="str">
        <f>"TUFM"</f>
        <v>TUFM</v>
      </c>
      <c r="B17349" t="s">
        <v>7</v>
      </c>
    </row>
    <row r="17350" spans="1:2" x14ac:dyDescent="0.2">
      <c r="A17350" t="str">
        <f>"TUFT1"</f>
        <v>TUFT1</v>
      </c>
      <c r="B17350" t="s">
        <v>4</v>
      </c>
    </row>
    <row r="17351" spans="1:2" x14ac:dyDescent="0.2">
      <c r="A17351" t="str">
        <f>"TULP1"</f>
        <v>TULP1</v>
      </c>
      <c r="B17351" t="s">
        <v>8</v>
      </c>
    </row>
    <row r="17352" spans="1:2" x14ac:dyDescent="0.2">
      <c r="A17352" t="str">
        <f>"TULP2"</f>
        <v>TULP2</v>
      </c>
      <c r="B17352" t="s">
        <v>4</v>
      </c>
    </row>
    <row r="17353" spans="1:2" x14ac:dyDescent="0.2">
      <c r="A17353" t="str">
        <f>"TULP3"</f>
        <v>TULP3</v>
      </c>
      <c r="B17353" t="s">
        <v>8</v>
      </c>
    </row>
    <row r="17354" spans="1:2" x14ac:dyDescent="0.2">
      <c r="A17354" t="str">
        <f>"TULP4"</f>
        <v>TULP4</v>
      </c>
      <c r="B17354" t="s">
        <v>2</v>
      </c>
    </row>
    <row r="17355" spans="1:2" x14ac:dyDescent="0.2">
      <c r="A17355" t="str">
        <f>"TUSC1"</f>
        <v>TUSC1</v>
      </c>
      <c r="B17355" t="s">
        <v>4</v>
      </c>
    </row>
    <row r="17356" spans="1:2" x14ac:dyDescent="0.2">
      <c r="A17356" t="str">
        <f>"TUSC2"</f>
        <v>TUSC2</v>
      </c>
      <c r="B17356" t="s">
        <v>3</v>
      </c>
    </row>
    <row r="17357" spans="1:2" x14ac:dyDescent="0.2">
      <c r="A17357" t="str">
        <f>"TUSC3"</f>
        <v>TUSC3</v>
      </c>
      <c r="B17357" t="s">
        <v>3</v>
      </c>
    </row>
    <row r="17358" spans="1:2" x14ac:dyDescent="0.2">
      <c r="A17358" t="str">
        <f>"TUSC5"</f>
        <v>TUSC5</v>
      </c>
      <c r="B17358" t="s">
        <v>5</v>
      </c>
    </row>
    <row r="17359" spans="1:2" x14ac:dyDescent="0.2">
      <c r="A17359" t="str">
        <f>"TUT1"</f>
        <v>TUT1</v>
      </c>
      <c r="B17359" t="s">
        <v>8</v>
      </c>
    </row>
    <row r="17360" spans="1:2" x14ac:dyDescent="0.2">
      <c r="A17360" t="str">
        <f>"TVP23A"</f>
        <v>TVP23A</v>
      </c>
      <c r="B17360" t="s">
        <v>5</v>
      </c>
    </row>
    <row r="17361" spans="1:2" x14ac:dyDescent="0.2">
      <c r="A17361" t="str">
        <f>"TVP23B"</f>
        <v>TVP23B</v>
      </c>
      <c r="B17361" t="s">
        <v>2</v>
      </c>
    </row>
    <row r="17362" spans="1:2" x14ac:dyDescent="0.2">
      <c r="A17362" t="str">
        <f>"TVP23C"</f>
        <v>TVP23C</v>
      </c>
      <c r="B17362" t="s">
        <v>5</v>
      </c>
    </row>
    <row r="17363" spans="1:2" x14ac:dyDescent="0.2">
      <c r="A17363" t="str">
        <f>"TVP23C-CDRT4"</f>
        <v>TVP23C-CDRT4</v>
      </c>
      <c r="B17363" t="s">
        <v>4</v>
      </c>
    </row>
    <row r="17364" spans="1:2" x14ac:dyDescent="0.2">
      <c r="A17364" t="str">
        <f>"TWF1"</f>
        <v>TWF1</v>
      </c>
      <c r="B17364" t="s">
        <v>7</v>
      </c>
    </row>
    <row r="17365" spans="1:2" x14ac:dyDescent="0.2">
      <c r="A17365" t="str">
        <f>"TWF2"</f>
        <v>TWF2</v>
      </c>
      <c r="B17365" t="s">
        <v>7</v>
      </c>
    </row>
    <row r="17366" spans="1:2" x14ac:dyDescent="0.2">
      <c r="A17366" t="str">
        <f>"TWIST1"</f>
        <v>TWIST1</v>
      </c>
      <c r="B17366" t="s">
        <v>3</v>
      </c>
    </row>
    <row r="17367" spans="1:2" x14ac:dyDescent="0.2">
      <c r="A17367" t="str">
        <f>"TWIST2"</f>
        <v>TWIST2</v>
      </c>
      <c r="B17367" t="s">
        <v>4</v>
      </c>
    </row>
    <row r="17368" spans="1:2" x14ac:dyDescent="0.2">
      <c r="A17368" t="str">
        <f>"TWISTNB"</f>
        <v>TWISTNB</v>
      </c>
      <c r="B17368" t="s">
        <v>8</v>
      </c>
    </row>
    <row r="17369" spans="1:2" x14ac:dyDescent="0.2">
      <c r="A17369" t="str">
        <f>"TWSG1"</f>
        <v>TWSG1</v>
      </c>
      <c r="B17369" t="s">
        <v>4</v>
      </c>
    </row>
    <row r="17370" spans="1:2" x14ac:dyDescent="0.2">
      <c r="A17370" t="str">
        <f>"TXK"</f>
        <v>TXK</v>
      </c>
      <c r="B17370" t="s">
        <v>7</v>
      </c>
    </row>
    <row r="17371" spans="1:2" x14ac:dyDescent="0.2">
      <c r="A17371" t="str">
        <f>"TXLNA"</f>
        <v>TXLNA</v>
      </c>
      <c r="B17371" t="s">
        <v>2</v>
      </c>
    </row>
    <row r="17372" spans="1:2" x14ac:dyDescent="0.2">
      <c r="A17372" t="str">
        <f>"TXLNB"</f>
        <v>TXLNB</v>
      </c>
      <c r="B17372" t="s">
        <v>4</v>
      </c>
    </row>
    <row r="17373" spans="1:2" x14ac:dyDescent="0.2">
      <c r="A17373" t="str">
        <f>"TXLNG"</f>
        <v>TXLNG</v>
      </c>
      <c r="B17373" t="s">
        <v>3</v>
      </c>
    </row>
    <row r="17374" spans="1:2" x14ac:dyDescent="0.2">
      <c r="A17374" t="str">
        <f>"TXN"</f>
        <v>TXN</v>
      </c>
      <c r="B17374" t="s">
        <v>2</v>
      </c>
    </row>
    <row r="17375" spans="1:2" x14ac:dyDescent="0.2">
      <c r="A17375" t="str">
        <f>"TXN2"</f>
        <v>TXN2</v>
      </c>
      <c r="B17375" t="s">
        <v>6</v>
      </c>
    </row>
    <row r="17376" spans="1:2" x14ac:dyDescent="0.2">
      <c r="A17376" t="str">
        <f>"TXNDC11"</f>
        <v>TXNDC11</v>
      </c>
      <c r="B17376" t="s">
        <v>2</v>
      </c>
    </row>
    <row r="17377" spans="1:2" x14ac:dyDescent="0.2">
      <c r="A17377" t="str">
        <f>"TXNDC12"</f>
        <v>TXNDC12</v>
      </c>
      <c r="B17377" t="s">
        <v>7</v>
      </c>
    </row>
    <row r="17378" spans="1:2" x14ac:dyDescent="0.2">
      <c r="A17378" t="str">
        <f>"TXNDC15"</f>
        <v>TXNDC15</v>
      </c>
      <c r="B17378" t="s">
        <v>5</v>
      </c>
    </row>
    <row r="17379" spans="1:2" x14ac:dyDescent="0.2">
      <c r="A17379" t="str">
        <f>"TXNDC16"</f>
        <v>TXNDC16</v>
      </c>
      <c r="B17379" t="s">
        <v>5</v>
      </c>
    </row>
    <row r="17380" spans="1:2" x14ac:dyDescent="0.2">
      <c r="A17380" t="str">
        <f>"TXNDC17"</f>
        <v>TXNDC17</v>
      </c>
      <c r="B17380" t="s">
        <v>4</v>
      </c>
    </row>
    <row r="17381" spans="1:2" x14ac:dyDescent="0.2">
      <c r="A17381" t="str">
        <f>"TXNDC2"</f>
        <v>TXNDC2</v>
      </c>
      <c r="B17381" t="s">
        <v>4</v>
      </c>
    </row>
    <row r="17382" spans="1:2" x14ac:dyDescent="0.2">
      <c r="A17382" t="str">
        <f>"TXNDC5"</f>
        <v>TXNDC5</v>
      </c>
      <c r="B17382" t="s">
        <v>2</v>
      </c>
    </row>
    <row r="17383" spans="1:2" x14ac:dyDescent="0.2">
      <c r="A17383" t="str">
        <f>"TXNDC8"</f>
        <v>TXNDC8</v>
      </c>
      <c r="B17383" t="s">
        <v>4</v>
      </c>
    </row>
    <row r="17384" spans="1:2" x14ac:dyDescent="0.2">
      <c r="A17384" t="str">
        <f>"TXNDC9"</f>
        <v>TXNDC9</v>
      </c>
      <c r="B17384" t="s">
        <v>4</v>
      </c>
    </row>
    <row r="17385" spans="1:2" x14ac:dyDescent="0.2">
      <c r="A17385" t="str">
        <f>"TXNIP"</f>
        <v>TXNIP</v>
      </c>
      <c r="B17385" t="s">
        <v>3</v>
      </c>
    </row>
    <row r="17386" spans="1:2" x14ac:dyDescent="0.2">
      <c r="A17386" t="str">
        <f>"TXNL1"</f>
        <v>TXNL1</v>
      </c>
      <c r="B17386" t="s">
        <v>2</v>
      </c>
    </row>
    <row r="17387" spans="1:2" x14ac:dyDescent="0.2">
      <c r="A17387" t="str">
        <f>"TXNL4A"</f>
        <v>TXNL4A</v>
      </c>
      <c r="B17387" t="s">
        <v>3</v>
      </c>
    </row>
    <row r="17388" spans="1:2" x14ac:dyDescent="0.2">
      <c r="A17388" t="str">
        <f>"TXNL4B"</f>
        <v>TXNL4B</v>
      </c>
      <c r="B17388" t="s">
        <v>3</v>
      </c>
    </row>
    <row r="17389" spans="1:2" x14ac:dyDescent="0.2">
      <c r="A17389" t="str">
        <f>"TXNRD1"</f>
        <v>TXNRD1</v>
      </c>
      <c r="B17389" t="s">
        <v>7</v>
      </c>
    </row>
    <row r="17390" spans="1:2" x14ac:dyDescent="0.2">
      <c r="A17390" t="str">
        <f>"TXNRD2"</f>
        <v>TXNRD2</v>
      </c>
      <c r="B17390" t="s">
        <v>3</v>
      </c>
    </row>
    <row r="17391" spans="1:2" x14ac:dyDescent="0.2">
      <c r="A17391" t="str">
        <f>"TXNRD3"</f>
        <v>TXNRD3</v>
      </c>
      <c r="B17391" t="s">
        <v>6</v>
      </c>
    </row>
    <row r="17392" spans="1:2" x14ac:dyDescent="0.2">
      <c r="A17392" t="str">
        <f>"TXNRD3NB"</f>
        <v>TXNRD3NB</v>
      </c>
      <c r="B17392" t="s">
        <v>4</v>
      </c>
    </row>
    <row r="17393" spans="1:2" x14ac:dyDescent="0.2">
      <c r="A17393" t="str">
        <f>"TYK2"</f>
        <v>TYK2</v>
      </c>
      <c r="B17393" t="s">
        <v>7</v>
      </c>
    </row>
    <row r="17394" spans="1:2" x14ac:dyDescent="0.2">
      <c r="A17394" t="str">
        <f>"TYMP"</f>
        <v>TYMP</v>
      </c>
      <c r="B17394" t="s">
        <v>3</v>
      </c>
    </row>
    <row r="17395" spans="1:2" x14ac:dyDescent="0.2">
      <c r="A17395" t="str">
        <f>"TYMS"</f>
        <v>TYMS</v>
      </c>
      <c r="B17395" t="s">
        <v>3</v>
      </c>
    </row>
    <row r="17396" spans="1:2" x14ac:dyDescent="0.2">
      <c r="A17396" t="str">
        <f>"TYR"</f>
        <v>TYR</v>
      </c>
      <c r="B17396" t="s">
        <v>7</v>
      </c>
    </row>
    <row r="17397" spans="1:2" x14ac:dyDescent="0.2">
      <c r="A17397" t="str">
        <f>"TYRO3"</f>
        <v>TYRO3</v>
      </c>
      <c r="B17397" t="s">
        <v>7</v>
      </c>
    </row>
    <row r="17398" spans="1:2" x14ac:dyDescent="0.2">
      <c r="A17398" t="str">
        <f>"TYROBP"</f>
        <v>TYROBP</v>
      </c>
      <c r="B17398" t="s">
        <v>7</v>
      </c>
    </row>
    <row r="17399" spans="1:2" x14ac:dyDescent="0.2">
      <c r="A17399" t="str">
        <f>"TYRP1"</f>
        <v>TYRP1</v>
      </c>
      <c r="B17399" t="s">
        <v>3</v>
      </c>
    </row>
    <row r="17400" spans="1:2" x14ac:dyDescent="0.2">
      <c r="A17400" t="str">
        <f>"TYSND1"</f>
        <v>TYSND1</v>
      </c>
      <c r="B17400" t="s">
        <v>2</v>
      </c>
    </row>
    <row r="17401" spans="1:2" x14ac:dyDescent="0.2">
      <c r="A17401" t="str">
        <f>"TYW1"</f>
        <v>TYW1</v>
      </c>
      <c r="B17401" t="s">
        <v>6</v>
      </c>
    </row>
    <row r="17402" spans="1:2" x14ac:dyDescent="0.2">
      <c r="A17402" t="str">
        <f>"TYW1B"</f>
        <v>TYW1B</v>
      </c>
      <c r="B17402" t="s">
        <v>5</v>
      </c>
    </row>
    <row r="17403" spans="1:2" x14ac:dyDescent="0.2">
      <c r="A17403" t="str">
        <f>"TYW3"</f>
        <v>TYW3</v>
      </c>
      <c r="B17403" t="s">
        <v>4</v>
      </c>
    </row>
    <row r="17404" spans="1:2" x14ac:dyDescent="0.2">
      <c r="A17404" t="str">
        <f>"TYW5"</f>
        <v>TYW5</v>
      </c>
      <c r="B17404" t="s">
        <v>4</v>
      </c>
    </row>
    <row r="17405" spans="1:2" x14ac:dyDescent="0.2">
      <c r="A17405" t="str">
        <f>"U2AF1"</f>
        <v>U2AF1</v>
      </c>
      <c r="B17405" t="s">
        <v>8</v>
      </c>
    </row>
    <row r="17406" spans="1:2" x14ac:dyDescent="0.2">
      <c r="A17406" t="str">
        <f>"U2AF1L4"</f>
        <v>U2AF1L4</v>
      </c>
      <c r="B17406" t="s">
        <v>8</v>
      </c>
    </row>
    <row r="17407" spans="1:2" x14ac:dyDescent="0.2">
      <c r="A17407" t="str">
        <f>"U2AF2"</f>
        <v>U2AF2</v>
      </c>
      <c r="B17407" t="s">
        <v>3</v>
      </c>
    </row>
    <row r="17408" spans="1:2" x14ac:dyDescent="0.2">
      <c r="A17408" t="str">
        <f>"U2SURP"</f>
        <v>U2SURP</v>
      </c>
      <c r="B17408" t="s">
        <v>3</v>
      </c>
    </row>
    <row r="17409" spans="1:2" x14ac:dyDescent="0.2">
      <c r="A17409" t="str">
        <f>"UACA"</f>
        <v>UACA</v>
      </c>
      <c r="B17409" t="s">
        <v>3</v>
      </c>
    </row>
    <row r="17410" spans="1:2" x14ac:dyDescent="0.2">
      <c r="A17410" t="str">
        <f>"UAP1"</f>
        <v>UAP1</v>
      </c>
      <c r="B17410" t="s">
        <v>7</v>
      </c>
    </row>
    <row r="17411" spans="1:2" x14ac:dyDescent="0.2">
      <c r="A17411" t="str">
        <f>"UAP1L1"</f>
        <v>UAP1L1</v>
      </c>
      <c r="B17411" t="s">
        <v>4</v>
      </c>
    </row>
    <row r="17412" spans="1:2" x14ac:dyDescent="0.2">
      <c r="A17412" t="str">
        <f>"UBA1"</f>
        <v>UBA1</v>
      </c>
      <c r="B17412" t="s">
        <v>7</v>
      </c>
    </row>
    <row r="17413" spans="1:2" x14ac:dyDescent="0.2">
      <c r="A17413" t="str">
        <f>"UBA2"</f>
        <v>UBA2</v>
      </c>
      <c r="B17413" t="s">
        <v>2</v>
      </c>
    </row>
    <row r="17414" spans="1:2" x14ac:dyDescent="0.2">
      <c r="A17414" t="str">
        <f>"UBA3"</f>
        <v>UBA3</v>
      </c>
      <c r="B17414" t="s">
        <v>3</v>
      </c>
    </row>
    <row r="17415" spans="1:2" x14ac:dyDescent="0.2">
      <c r="A17415" t="str">
        <f>"UBA5"</f>
        <v>UBA5</v>
      </c>
      <c r="B17415" t="s">
        <v>2</v>
      </c>
    </row>
    <row r="17416" spans="1:2" x14ac:dyDescent="0.2">
      <c r="A17416" t="str">
        <f>"UBA52"</f>
        <v>UBA52</v>
      </c>
      <c r="B17416" t="s">
        <v>2</v>
      </c>
    </row>
    <row r="17417" spans="1:2" x14ac:dyDescent="0.2">
      <c r="A17417" t="str">
        <f>"UBA6"</f>
        <v>UBA6</v>
      </c>
      <c r="B17417" t="s">
        <v>2</v>
      </c>
    </row>
    <row r="17418" spans="1:2" x14ac:dyDescent="0.2">
      <c r="A17418" t="str">
        <f>"UBA7"</f>
        <v>UBA7</v>
      </c>
      <c r="B17418" t="s">
        <v>2</v>
      </c>
    </row>
    <row r="17419" spans="1:2" x14ac:dyDescent="0.2">
      <c r="A17419" t="str">
        <f>"UBAC1"</f>
        <v>UBAC1</v>
      </c>
      <c r="B17419" t="s">
        <v>2</v>
      </c>
    </row>
    <row r="17420" spans="1:2" x14ac:dyDescent="0.2">
      <c r="A17420" t="str">
        <f>"UBAC2"</f>
        <v>UBAC2</v>
      </c>
      <c r="B17420" t="s">
        <v>2</v>
      </c>
    </row>
    <row r="17421" spans="1:2" x14ac:dyDescent="0.2">
      <c r="A17421" t="str">
        <f>"UBALD1"</f>
        <v>UBALD1</v>
      </c>
      <c r="B17421" t="s">
        <v>5</v>
      </c>
    </row>
    <row r="17422" spans="1:2" x14ac:dyDescent="0.2">
      <c r="A17422" t="str">
        <f>"UBALD2"</f>
        <v>UBALD2</v>
      </c>
      <c r="B17422" t="s">
        <v>4</v>
      </c>
    </row>
    <row r="17423" spans="1:2" x14ac:dyDescent="0.2">
      <c r="A17423" t="str">
        <f>"UBAP1"</f>
        <v>UBAP1</v>
      </c>
      <c r="B17423" t="s">
        <v>2</v>
      </c>
    </row>
    <row r="17424" spans="1:2" x14ac:dyDescent="0.2">
      <c r="A17424" t="str">
        <f>"UBAP1L"</f>
        <v>UBAP1L</v>
      </c>
      <c r="B17424" t="s">
        <v>4</v>
      </c>
    </row>
    <row r="17425" spans="1:2" x14ac:dyDescent="0.2">
      <c r="A17425" t="str">
        <f>"UBAP2"</f>
        <v>UBAP2</v>
      </c>
      <c r="B17425" t="s">
        <v>2</v>
      </c>
    </row>
    <row r="17426" spans="1:2" x14ac:dyDescent="0.2">
      <c r="A17426" t="str">
        <f>"UBAP2L"</f>
        <v>UBAP2L</v>
      </c>
      <c r="B17426" t="s">
        <v>2</v>
      </c>
    </row>
    <row r="17427" spans="1:2" x14ac:dyDescent="0.2">
      <c r="A17427" t="str">
        <f>"UBASH3A"</f>
        <v>UBASH3A</v>
      </c>
      <c r="B17427" t="s">
        <v>2</v>
      </c>
    </row>
    <row r="17428" spans="1:2" x14ac:dyDescent="0.2">
      <c r="A17428" t="str">
        <f>"UBASH3B"</f>
        <v>UBASH3B</v>
      </c>
      <c r="B17428" t="s">
        <v>2</v>
      </c>
    </row>
    <row r="17429" spans="1:2" x14ac:dyDescent="0.2">
      <c r="A17429" t="str">
        <f>"UBB"</f>
        <v>UBB</v>
      </c>
      <c r="B17429" t="s">
        <v>3</v>
      </c>
    </row>
    <row r="17430" spans="1:2" x14ac:dyDescent="0.2">
      <c r="A17430" t="str">
        <f>"UBC"</f>
        <v>UBC</v>
      </c>
      <c r="B17430" t="s">
        <v>7</v>
      </c>
    </row>
    <row r="17431" spans="1:2" x14ac:dyDescent="0.2">
      <c r="A17431" t="str">
        <f>"UBD"</f>
        <v>UBD</v>
      </c>
      <c r="B17431" t="s">
        <v>2</v>
      </c>
    </row>
    <row r="17432" spans="1:2" x14ac:dyDescent="0.2">
      <c r="A17432" t="str">
        <f>"UBE2A"</f>
        <v>UBE2A</v>
      </c>
      <c r="B17432" t="s">
        <v>2</v>
      </c>
    </row>
    <row r="17433" spans="1:2" x14ac:dyDescent="0.2">
      <c r="A17433" t="str">
        <f>"UBE2B"</f>
        <v>UBE2B</v>
      </c>
      <c r="B17433" t="s">
        <v>2</v>
      </c>
    </row>
    <row r="17434" spans="1:2" x14ac:dyDescent="0.2">
      <c r="A17434" t="str">
        <f>"UBE2C"</f>
        <v>UBE2C</v>
      </c>
      <c r="B17434" t="s">
        <v>2</v>
      </c>
    </row>
    <row r="17435" spans="1:2" x14ac:dyDescent="0.2">
      <c r="A17435" t="str">
        <f>"UBE2D1"</f>
        <v>UBE2D1</v>
      </c>
      <c r="B17435" t="s">
        <v>2</v>
      </c>
    </row>
    <row r="17436" spans="1:2" x14ac:dyDescent="0.2">
      <c r="A17436" t="str">
        <f>"UBE2D2"</f>
        <v>UBE2D2</v>
      </c>
      <c r="B17436" t="s">
        <v>2</v>
      </c>
    </row>
    <row r="17437" spans="1:2" x14ac:dyDescent="0.2">
      <c r="A17437" t="str">
        <f>"UBE2D3"</f>
        <v>UBE2D3</v>
      </c>
      <c r="B17437" t="s">
        <v>2</v>
      </c>
    </row>
    <row r="17438" spans="1:2" x14ac:dyDescent="0.2">
      <c r="A17438" t="str">
        <f>"UBE2D4"</f>
        <v>UBE2D4</v>
      </c>
      <c r="B17438" t="s">
        <v>2</v>
      </c>
    </row>
    <row r="17439" spans="1:2" x14ac:dyDescent="0.2">
      <c r="A17439" t="str">
        <f>"UBE2E1"</f>
        <v>UBE2E1</v>
      </c>
      <c r="B17439" t="s">
        <v>2</v>
      </c>
    </row>
    <row r="17440" spans="1:2" x14ac:dyDescent="0.2">
      <c r="A17440" t="str">
        <f>"UBE2E2"</f>
        <v>UBE2E2</v>
      </c>
      <c r="B17440" t="s">
        <v>2</v>
      </c>
    </row>
    <row r="17441" spans="1:2" x14ac:dyDescent="0.2">
      <c r="A17441" t="str">
        <f>"UBE2E3"</f>
        <v>UBE2E3</v>
      </c>
      <c r="B17441" t="s">
        <v>2</v>
      </c>
    </row>
    <row r="17442" spans="1:2" x14ac:dyDescent="0.2">
      <c r="A17442" t="str">
        <f>"UBE2F"</f>
        <v>UBE2F</v>
      </c>
      <c r="B17442" t="s">
        <v>2</v>
      </c>
    </row>
    <row r="17443" spans="1:2" x14ac:dyDescent="0.2">
      <c r="A17443" t="str">
        <f>"UBE2G1"</f>
        <v>UBE2G1</v>
      </c>
      <c r="B17443" t="s">
        <v>2</v>
      </c>
    </row>
    <row r="17444" spans="1:2" x14ac:dyDescent="0.2">
      <c r="A17444" t="str">
        <f>"UBE2G2"</f>
        <v>UBE2G2</v>
      </c>
      <c r="B17444" t="s">
        <v>2</v>
      </c>
    </row>
    <row r="17445" spans="1:2" x14ac:dyDescent="0.2">
      <c r="A17445" t="str">
        <f>"UBE2H"</f>
        <v>UBE2H</v>
      </c>
      <c r="B17445" t="s">
        <v>2</v>
      </c>
    </row>
    <row r="17446" spans="1:2" x14ac:dyDescent="0.2">
      <c r="A17446" t="str">
        <f>"UBE2I"</f>
        <v>UBE2I</v>
      </c>
      <c r="B17446" t="s">
        <v>2</v>
      </c>
    </row>
    <row r="17447" spans="1:2" x14ac:dyDescent="0.2">
      <c r="A17447" t="str">
        <f>"UBE2J1"</f>
        <v>UBE2J1</v>
      </c>
      <c r="B17447" t="s">
        <v>2</v>
      </c>
    </row>
    <row r="17448" spans="1:2" x14ac:dyDescent="0.2">
      <c r="A17448" t="str">
        <f>"UBE2J2"</f>
        <v>UBE2J2</v>
      </c>
      <c r="B17448" t="s">
        <v>2</v>
      </c>
    </row>
    <row r="17449" spans="1:2" x14ac:dyDescent="0.2">
      <c r="A17449" t="str">
        <f>"UBE2K"</f>
        <v>UBE2K</v>
      </c>
      <c r="B17449" t="s">
        <v>2</v>
      </c>
    </row>
    <row r="17450" spans="1:2" x14ac:dyDescent="0.2">
      <c r="A17450" t="str">
        <f>"UBE2L3"</f>
        <v>UBE2L3</v>
      </c>
      <c r="B17450" t="s">
        <v>2</v>
      </c>
    </row>
    <row r="17451" spans="1:2" x14ac:dyDescent="0.2">
      <c r="A17451" t="str">
        <f>"UBE2L6"</f>
        <v>UBE2L6</v>
      </c>
      <c r="B17451" t="s">
        <v>2</v>
      </c>
    </row>
    <row r="17452" spans="1:2" x14ac:dyDescent="0.2">
      <c r="A17452" t="str">
        <f>"UBE2M"</f>
        <v>UBE2M</v>
      </c>
      <c r="B17452" t="s">
        <v>2</v>
      </c>
    </row>
    <row r="17453" spans="1:2" x14ac:dyDescent="0.2">
      <c r="A17453" t="str">
        <f>"UBE2N"</f>
        <v>UBE2N</v>
      </c>
      <c r="B17453" t="s">
        <v>2</v>
      </c>
    </row>
    <row r="17454" spans="1:2" x14ac:dyDescent="0.2">
      <c r="A17454" t="str">
        <f>"UBE2NL"</f>
        <v>UBE2NL</v>
      </c>
      <c r="B17454" t="s">
        <v>2</v>
      </c>
    </row>
    <row r="17455" spans="1:2" x14ac:dyDescent="0.2">
      <c r="A17455" t="str">
        <f>"UBE2O"</f>
        <v>UBE2O</v>
      </c>
      <c r="B17455" t="s">
        <v>2</v>
      </c>
    </row>
    <row r="17456" spans="1:2" x14ac:dyDescent="0.2">
      <c r="A17456" t="str">
        <f>"UBE2Q1"</f>
        <v>UBE2Q1</v>
      </c>
      <c r="B17456" t="s">
        <v>2</v>
      </c>
    </row>
    <row r="17457" spans="1:2" x14ac:dyDescent="0.2">
      <c r="A17457" t="str">
        <f>"UBE2Q2"</f>
        <v>UBE2Q2</v>
      </c>
      <c r="B17457" t="s">
        <v>2</v>
      </c>
    </row>
    <row r="17458" spans="1:2" x14ac:dyDescent="0.2">
      <c r="A17458" t="str">
        <f>"UBE2QL1"</f>
        <v>UBE2QL1</v>
      </c>
      <c r="B17458" t="s">
        <v>2</v>
      </c>
    </row>
    <row r="17459" spans="1:2" x14ac:dyDescent="0.2">
      <c r="A17459" t="str">
        <f>"UBE2R2"</f>
        <v>UBE2R2</v>
      </c>
      <c r="B17459" t="s">
        <v>2</v>
      </c>
    </row>
    <row r="17460" spans="1:2" x14ac:dyDescent="0.2">
      <c r="A17460" t="str">
        <f>"UBE2S"</f>
        <v>UBE2S</v>
      </c>
      <c r="B17460" t="s">
        <v>2</v>
      </c>
    </row>
    <row r="17461" spans="1:2" x14ac:dyDescent="0.2">
      <c r="A17461" t="str">
        <f>"UBE2T"</f>
        <v>UBE2T</v>
      </c>
      <c r="B17461" t="s">
        <v>2</v>
      </c>
    </row>
    <row r="17462" spans="1:2" x14ac:dyDescent="0.2">
      <c r="A17462" t="str">
        <f>"UBE2U"</f>
        <v>UBE2U</v>
      </c>
      <c r="B17462" t="s">
        <v>2</v>
      </c>
    </row>
    <row r="17463" spans="1:2" x14ac:dyDescent="0.2">
      <c r="A17463" t="str">
        <f>"UBE2V1"</f>
        <v>UBE2V1</v>
      </c>
      <c r="B17463" t="s">
        <v>2</v>
      </c>
    </row>
    <row r="17464" spans="1:2" x14ac:dyDescent="0.2">
      <c r="A17464" t="str">
        <f>"UBE2V2"</f>
        <v>UBE2V2</v>
      </c>
      <c r="B17464" t="s">
        <v>2</v>
      </c>
    </row>
    <row r="17465" spans="1:2" x14ac:dyDescent="0.2">
      <c r="A17465" t="str">
        <f>"UBE2W"</f>
        <v>UBE2W</v>
      </c>
      <c r="B17465" t="s">
        <v>2</v>
      </c>
    </row>
    <row r="17466" spans="1:2" x14ac:dyDescent="0.2">
      <c r="A17466" t="str">
        <f>"UBE2Z"</f>
        <v>UBE2Z</v>
      </c>
      <c r="B17466" t="s">
        <v>2</v>
      </c>
    </row>
    <row r="17467" spans="1:2" x14ac:dyDescent="0.2">
      <c r="A17467" t="str">
        <f>"UBE3A"</f>
        <v>UBE3A</v>
      </c>
      <c r="B17467" t="s">
        <v>2</v>
      </c>
    </row>
    <row r="17468" spans="1:2" x14ac:dyDescent="0.2">
      <c r="A17468" t="str">
        <f>"UBE3B"</f>
        <v>UBE3B</v>
      </c>
      <c r="B17468" t="s">
        <v>2</v>
      </c>
    </row>
    <row r="17469" spans="1:2" x14ac:dyDescent="0.2">
      <c r="A17469" t="str">
        <f>"UBE3C"</f>
        <v>UBE3C</v>
      </c>
      <c r="B17469" t="s">
        <v>2</v>
      </c>
    </row>
    <row r="17470" spans="1:2" x14ac:dyDescent="0.2">
      <c r="A17470" t="str">
        <f>"UBE3D"</f>
        <v>UBE3D</v>
      </c>
      <c r="B17470" t="s">
        <v>2</v>
      </c>
    </row>
    <row r="17471" spans="1:2" x14ac:dyDescent="0.2">
      <c r="A17471" t="str">
        <f>"UBE4A"</f>
        <v>UBE4A</v>
      </c>
      <c r="B17471" t="s">
        <v>2</v>
      </c>
    </row>
    <row r="17472" spans="1:2" x14ac:dyDescent="0.2">
      <c r="A17472" t="str">
        <f>"UBE4B"</f>
        <v>UBE4B</v>
      </c>
      <c r="B17472" t="s">
        <v>2</v>
      </c>
    </row>
    <row r="17473" spans="1:2" x14ac:dyDescent="0.2">
      <c r="A17473" t="str">
        <f>"UBFD1"</f>
        <v>UBFD1</v>
      </c>
      <c r="B17473" t="s">
        <v>2</v>
      </c>
    </row>
    <row r="17474" spans="1:2" x14ac:dyDescent="0.2">
      <c r="A17474" t="str">
        <f>"UBIAD1"</f>
        <v>UBIAD1</v>
      </c>
      <c r="B17474" t="s">
        <v>6</v>
      </c>
    </row>
    <row r="17475" spans="1:2" x14ac:dyDescent="0.2">
      <c r="A17475" t="str">
        <f>"UBL3"</f>
        <v>UBL3</v>
      </c>
      <c r="B17475" t="s">
        <v>2</v>
      </c>
    </row>
    <row r="17476" spans="1:2" x14ac:dyDescent="0.2">
      <c r="A17476" t="str">
        <f>"UBL4A"</f>
        <v>UBL4A</v>
      </c>
      <c r="B17476" t="s">
        <v>2</v>
      </c>
    </row>
    <row r="17477" spans="1:2" x14ac:dyDescent="0.2">
      <c r="A17477" t="str">
        <f>"UBL4B"</f>
        <v>UBL4B</v>
      </c>
      <c r="B17477" t="s">
        <v>2</v>
      </c>
    </row>
    <row r="17478" spans="1:2" x14ac:dyDescent="0.2">
      <c r="A17478" t="str">
        <f>"UBL5"</f>
        <v>UBL5</v>
      </c>
      <c r="B17478" t="s">
        <v>2</v>
      </c>
    </row>
    <row r="17479" spans="1:2" x14ac:dyDescent="0.2">
      <c r="A17479" t="str">
        <f>"UBL7"</f>
        <v>UBL7</v>
      </c>
      <c r="B17479" t="s">
        <v>2</v>
      </c>
    </row>
    <row r="17480" spans="1:2" x14ac:dyDescent="0.2">
      <c r="A17480" t="str">
        <f>"UBLCP1"</f>
        <v>UBLCP1</v>
      </c>
      <c r="B17480" t="s">
        <v>2</v>
      </c>
    </row>
    <row r="17481" spans="1:2" x14ac:dyDescent="0.2">
      <c r="A17481" t="str">
        <f>"UBN1"</f>
        <v>UBN1</v>
      </c>
      <c r="B17481" t="s">
        <v>8</v>
      </c>
    </row>
    <row r="17482" spans="1:2" x14ac:dyDescent="0.2">
      <c r="A17482" t="str">
        <f>"UBN2"</f>
        <v>UBN2</v>
      </c>
      <c r="B17482" t="s">
        <v>8</v>
      </c>
    </row>
    <row r="17483" spans="1:2" x14ac:dyDescent="0.2">
      <c r="A17483" t="str">
        <f>"UBOX5"</f>
        <v>UBOX5</v>
      </c>
      <c r="B17483" t="s">
        <v>2</v>
      </c>
    </row>
    <row r="17484" spans="1:2" x14ac:dyDescent="0.2">
      <c r="A17484" t="str">
        <f>"UBP1"</f>
        <v>UBP1</v>
      </c>
      <c r="B17484" t="s">
        <v>8</v>
      </c>
    </row>
    <row r="17485" spans="1:2" x14ac:dyDescent="0.2">
      <c r="A17485" t="str">
        <f>"UBQLN1"</f>
        <v>UBQLN1</v>
      </c>
      <c r="B17485" t="s">
        <v>2</v>
      </c>
    </row>
    <row r="17486" spans="1:2" x14ac:dyDescent="0.2">
      <c r="A17486" t="str">
        <f>"UBQLN2"</f>
        <v>UBQLN2</v>
      </c>
      <c r="B17486" t="s">
        <v>2</v>
      </c>
    </row>
    <row r="17487" spans="1:2" x14ac:dyDescent="0.2">
      <c r="A17487" t="str">
        <f>"UBQLN3"</f>
        <v>UBQLN3</v>
      </c>
      <c r="B17487" t="s">
        <v>2</v>
      </c>
    </row>
    <row r="17488" spans="1:2" x14ac:dyDescent="0.2">
      <c r="A17488" t="str">
        <f>"UBQLN4"</f>
        <v>UBQLN4</v>
      </c>
      <c r="B17488" t="s">
        <v>2</v>
      </c>
    </row>
    <row r="17489" spans="1:2" x14ac:dyDescent="0.2">
      <c r="A17489" t="str">
        <f>"UBQLNL"</f>
        <v>UBQLNL</v>
      </c>
      <c r="B17489" t="s">
        <v>2</v>
      </c>
    </row>
    <row r="17490" spans="1:2" x14ac:dyDescent="0.2">
      <c r="A17490" t="str">
        <f>"UBR1"</f>
        <v>UBR1</v>
      </c>
      <c r="B17490" t="s">
        <v>2</v>
      </c>
    </row>
    <row r="17491" spans="1:2" x14ac:dyDescent="0.2">
      <c r="A17491" t="str">
        <f>"UBR2"</f>
        <v>UBR2</v>
      </c>
      <c r="B17491" t="s">
        <v>2</v>
      </c>
    </row>
    <row r="17492" spans="1:2" x14ac:dyDescent="0.2">
      <c r="A17492" t="str">
        <f>"UBR3"</f>
        <v>UBR3</v>
      </c>
      <c r="B17492" t="s">
        <v>2</v>
      </c>
    </row>
    <row r="17493" spans="1:2" x14ac:dyDescent="0.2">
      <c r="A17493" t="str">
        <f>"UBR4"</f>
        <v>UBR4</v>
      </c>
      <c r="B17493" t="s">
        <v>2</v>
      </c>
    </row>
    <row r="17494" spans="1:2" x14ac:dyDescent="0.2">
      <c r="A17494" t="str">
        <f>"UBR5"</f>
        <v>UBR5</v>
      </c>
      <c r="B17494" t="s">
        <v>3</v>
      </c>
    </row>
    <row r="17495" spans="1:2" x14ac:dyDescent="0.2">
      <c r="A17495" t="str">
        <f>"UBR7"</f>
        <v>UBR7</v>
      </c>
      <c r="B17495" t="s">
        <v>2</v>
      </c>
    </row>
    <row r="17496" spans="1:2" x14ac:dyDescent="0.2">
      <c r="A17496" t="str">
        <f>"UBTD1"</f>
        <v>UBTD1</v>
      </c>
      <c r="B17496" t="s">
        <v>2</v>
      </c>
    </row>
    <row r="17497" spans="1:2" x14ac:dyDescent="0.2">
      <c r="A17497" t="str">
        <f>"UBTD2"</f>
        <v>UBTD2</v>
      </c>
      <c r="B17497" t="s">
        <v>2</v>
      </c>
    </row>
    <row r="17498" spans="1:2" x14ac:dyDescent="0.2">
      <c r="A17498" t="str">
        <f>"UBTF"</f>
        <v>UBTF</v>
      </c>
      <c r="B17498" t="s">
        <v>8</v>
      </c>
    </row>
    <row r="17499" spans="1:2" x14ac:dyDescent="0.2">
      <c r="A17499" t="str">
        <f>"UBXN1"</f>
        <v>UBXN1</v>
      </c>
      <c r="B17499" t="s">
        <v>2</v>
      </c>
    </row>
    <row r="17500" spans="1:2" x14ac:dyDescent="0.2">
      <c r="A17500" t="str">
        <f>"UBXN10"</f>
        <v>UBXN10</v>
      </c>
      <c r="B17500" t="s">
        <v>2</v>
      </c>
    </row>
    <row r="17501" spans="1:2" x14ac:dyDescent="0.2">
      <c r="A17501" t="str">
        <f>"UBXN11"</f>
        <v>UBXN11</v>
      </c>
      <c r="B17501" t="s">
        <v>2</v>
      </c>
    </row>
    <row r="17502" spans="1:2" x14ac:dyDescent="0.2">
      <c r="A17502" t="str">
        <f>"UBXN2A"</f>
        <v>UBXN2A</v>
      </c>
      <c r="B17502" t="s">
        <v>2</v>
      </c>
    </row>
    <row r="17503" spans="1:2" x14ac:dyDescent="0.2">
      <c r="A17503" t="str">
        <f>"UBXN2B"</f>
        <v>UBXN2B</v>
      </c>
      <c r="B17503" t="s">
        <v>2</v>
      </c>
    </row>
    <row r="17504" spans="1:2" x14ac:dyDescent="0.2">
      <c r="A17504" t="str">
        <f>"UBXN4"</f>
        <v>UBXN4</v>
      </c>
      <c r="B17504" t="s">
        <v>2</v>
      </c>
    </row>
    <row r="17505" spans="1:2" x14ac:dyDescent="0.2">
      <c r="A17505" t="str">
        <f>"UBXN6"</f>
        <v>UBXN6</v>
      </c>
      <c r="B17505" t="s">
        <v>2</v>
      </c>
    </row>
    <row r="17506" spans="1:2" x14ac:dyDescent="0.2">
      <c r="A17506" t="str">
        <f>"UBXN7"</f>
        <v>UBXN7</v>
      </c>
      <c r="B17506" t="s">
        <v>2</v>
      </c>
    </row>
    <row r="17507" spans="1:2" x14ac:dyDescent="0.2">
      <c r="A17507" t="str">
        <f>"UBXN8"</f>
        <v>UBXN8</v>
      </c>
      <c r="B17507" t="s">
        <v>2</v>
      </c>
    </row>
    <row r="17508" spans="1:2" x14ac:dyDescent="0.2">
      <c r="A17508" t="str">
        <f>"UCHL1"</f>
        <v>UCHL1</v>
      </c>
      <c r="B17508" t="s">
        <v>3</v>
      </c>
    </row>
    <row r="17509" spans="1:2" x14ac:dyDescent="0.2">
      <c r="A17509" t="str">
        <f>"UCHL3"</f>
        <v>UCHL3</v>
      </c>
      <c r="B17509" t="s">
        <v>2</v>
      </c>
    </row>
    <row r="17510" spans="1:2" x14ac:dyDescent="0.2">
      <c r="A17510" t="str">
        <f>"UCHL5"</f>
        <v>UCHL5</v>
      </c>
      <c r="B17510" t="s">
        <v>2</v>
      </c>
    </row>
    <row r="17511" spans="1:2" x14ac:dyDescent="0.2">
      <c r="A17511" t="str">
        <f>"UCK1"</f>
        <v>UCK1</v>
      </c>
      <c r="B17511" t="s">
        <v>7</v>
      </c>
    </row>
    <row r="17512" spans="1:2" x14ac:dyDescent="0.2">
      <c r="A17512" t="str">
        <f>"UCK2"</f>
        <v>UCK2</v>
      </c>
      <c r="B17512" t="s">
        <v>7</v>
      </c>
    </row>
    <row r="17513" spans="1:2" x14ac:dyDescent="0.2">
      <c r="A17513" t="str">
        <f>"UCKL1"</f>
        <v>UCKL1</v>
      </c>
      <c r="B17513" t="s">
        <v>7</v>
      </c>
    </row>
    <row r="17514" spans="1:2" x14ac:dyDescent="0.2">
      <c r="A17514" t="str">
        <f>"UCMA"</f>
        <v>UCMA</v>
      </c>
      <c r="B17514" t="s">
        <v>4</v>
      </c>
    </row>
    <row r="17515" spans="1:2" x14ac:dyDescent="0.2">
      <c r="A17515" t="str">
        <f>"UCN"</f>
        <v>UCN</v>
      </c>
      <c r="B17515" t="s">
        <v>4</v>
      </c>
    </row>
    <row r="17516" spans="1:2" x14ac:dyDescent="0.2">
      <c r="A17516" t="str">
        <f>"UCN2"</f>
        <v>UCN2</v>
      </c>
      <c r="B17516" t="s">
        <v>2</v>
      </c>
    </row>
    <row r="17517" spans="1:2" x14ac:dyDescent="0.2">
      <c r="A17517" t="str">
        <f>"UCN3"</f>
        <v>UCN3</v>
      </c>
      <c r="B17517" t="s">
        <v>4</v>
      </c>
    </row>
    <row r="17518" spans="1:2" x14ac:dyDescent="0.2">
      <c r="A17518" t="str">
        <f>"UCP1"</f>
        <v>UCP1</v>
      </c>
      <c r="B17518" t="s">
        <v>6</v>
      </c>
    </row>
    <row r="17519" spans="1:2" x14ac:dyDescent="0.2">
      <c r="A17519" t="str">
        <f>"UCP2"</f>
        <v>UCP2</v>
      </c>
      <c r="B17519" t="s">
        <v>6</v>
      </c>
    </row>
    <row r="17520" spans="1:2" x14ac:dyDescent="0.2">
      <c r="A17520" t="str">
        <f>"UCP3"</f>
        <v>UCP3</v>
      </c>
      <c r="B17520" t="s">
        <v>3</v>
      </c>
    </row>
    <row r="17521" spans="1:2" x14ac:dyDescent="0.2">
      <c r="A17521" t="str">
        <f>"UEVLD"</f>
        <v>UEVLD</v>
      </c>
      <c r="B17521" t="s">
        <v>2</v>
      </c>
    </row>
    <row r="17522" spans="1:2" x14ac:dyDescent="0.2">
      <c r="A17522" t="str">
        <f>"UFC1"</f>
        <v>UFC1</v>
      </c>
      <c r="B17522" t="s">
        <v>2</v>
      </c>
    </row>
    <row r="17523" spans="1:2" x14ac:dyDescent="0.2">
      <c r="A17523" t="str">
        <f>"UFD1L"</f>
        <v>UFD1L</v>
      </c>
      <c r="B17523" t="s">
        <v>2</v>
      </c>
    </row>
    <row r="17524" spans="1:2" x14ac:dyDescent="0.2">
      <c r="A17524" t="str">
        <f>"UFL1"</f>
        <v>UFL1</v>
      </c>
      <c r="B17524" t="s">
        <v>2</v>
      </c>
    </row>
    <row r="17525" spans="1:2" x14ac:dyDescent="0.2">
      <c r="A17525" t="str">
        <f>"UFM1"</f>
        <v>UFM1</v>
      </c>
      <c r="B17525" t="s">
        <v>2</v>
      </c>
    </row>
    <row r="17526" spans="1:2" x14ac:dyDescent="0.2">
      <c r="A17526" t="str">
        <f>"UFSP1"</f>
        <v>UFSP1</v>
      </c>
      <c r="B17526" t="s">
        <v>4</v>
      </c>
    </row>
    <row r="17527" spans="1:2" x14ac:dyDescent="0.2">
      <c r="A17527" t="str">
        <f>"UFSP2"</f>
        <v>UFSP2</v>
      </c>
      <c r="B17527" t="s">
        <v>4</v>
      </c>
    </row>
    <row r="17528" spans="1:2" x14ac:dyDescent="0.2">
      <c r="A17528" t="str">
        <f>"UGCG"</f>
        <v>UGCG</v>
      </c>
      <c r="B17528" t="s">
        <v>7</v>
      </c>
    </row>
    <row r="17529" spans="1:2" x14ac:dyDescent="0.2">
      <c r="A17529" t="str">
        <f>"UGDH"</f>
        <v>UGDH</v>
      </c>
      <c r="B17529" t="s">
        <v>7</v>
      </c>
    </row>
    <row r="17530" spans="1:2" x14ac:dyDescent="0.2">
      <c r="A17530" t="str">
        <f>"UGGT1"</f>
        <v>UGGT1</v>
      </c>
      <c r="B17530" t="s">
        <v>3</v>
      </c>
    </row>
    <row r="17531" spans="1:2" x14ac:dyDescent="0.2">
      <c r="A17531" t="str">
        <f>"UGGT2"</f>
        <v>UGGT2</v>
      </c>
      <c r="B17531" t="s">
        <v>3</v>
      </c>
    </row>
    <row r="17532" spans="1:2" x14ac:dyDescent="0.2">
      <c r="A17532" t="str">
        <f>"UGP2"</f>
        <v>UGP2</v>
      </c>
      <c r="B17532" t="s">
        <v>7</v>
      </c>
    </row>
    <row r="17533" spans="1:2" x14ac:dyDescent="0.2">
      <c r="A17533" t="str">
        <f>"UGT1A1"</f>
        <v>UGT1A1</v>
      </c>
      <c r="B17533" t="s">
        <v>3</v>
      </c>
    </row>
    <row r="17534" spans="1:2" x14ac:dyDescent="0.2">
      <c r="A17534" t="str">
        <f>"UGT1A10"</f>
        <v>UGT1A10</v>
      </c>
      <c r="B17534" t="s">
        <v>6</v>
      </c>
    </row>
    <row r="17535" spans="1:2" x14ac:dyDescent="0.2">
      <c r="A17535" t="str">
        <f>"UGT1A3"</f>
        <v>UGT1A3</v>
      </c>
      <c r="B17535" t="s">
        <v>6</v>
      </c>
    </row>
    <row r="17536" spans="1:2" x14ac:dyDescent="0.2">
      <c r="A17536" t="str">
        <f>"UGT1A4"</f>
        <v>UGT1A4</v>
      </c>
      <c r="B17536" t="s">
        <v>6</v>
      </c>
    </row>
    <row r="17537" spans="1:2" x14ac:dyDescent="0.2">
      <c r="A17537" t="str">
        <f>"UGT1A5"</f>
        <v>UGT1A5</v>
      </c>
      <c r="B17537" t="s">
        <v>6</v>
      </c>
    </row>
    <row r="17538" spans="1:2" x14ac:dyDescent="0.2">
      <c r="A17538" t="str">
        <f>"UGT1A6"</f>
        <v>UGT1A6</v>
      </c>
      <c r="B17538" t="s">
        <v>6</v>
      </c>
    </row>
    <row r="17539" spans="1:2" x14ac:dyDescent="0.2">
      <c r="A17539" t="str">
        <f>"UGT1A7"</f>
        <v>UGT1A7</v>
      </c>
      <c r="B17539" t="s">
        <v>6</v>
      </c>
    </row>
    <row r="17540" spans="1:2" x14ac:dyDescent="0.2">
      <c r="A17540" t="str">
        <f>"UGT1A8"</f>
        <v>UGT1A8</v>
      </c>
      <c r="B17540" t="s">
        <v>6</v>
      </c>
    </row>
    <row r="17541" spans="1:2" x14ac:dyDescent="0.2">
      <c r="A17541" t="str">
        <f>"UGT1A9"</f>
        <v>UGT1A9</v>
      </c>
      <c r="B17541" t="s">
        <v>7</v>
      </c>
    </row>
    <row r="17542" spans="1:2" x14ac:dyDescent="0.2">
      <c r="A17542" t="str">
        <f>"UGT2A1"</f>
        <v>UGT2A1</v>
      </c>
      <c r="B17542" t="s">
        <v>2</v>
      </c>
    </row>
    <row r="17543" spans="1:2" x14ac:dyDescent="0.2">
      <c r="A17543" t="str">
        <f>"UGT2A2"</f>
        <v>UGT2A2</v>
      </c>
      <c r="B17543" t="s">
        <v>5</v>
      </c>
    </row>
    <row r="17544" spans="1:2" x14ac:dyDescent="0.2">
      <c r="A17544" t="str">
        <f>"UGT2A3"</f>
        <v>UGT2A3</v>
      </c>
      <c r="B17544" t="s">
        <v>6</v>
      </c>
    </row>
    <row r="17545" spans="1:2" x14ac:dyDescent="0.2">
      <c r="A17545" t="str">
        <f>"UGT2B15"</f>
        <v>UGT2B15</v>
      </c>
      <c r="B17545" t="s">
        <v>6</v>
      </c>
    </row>
    <row r="17546" spans="1:2" x14ac:dyDescent="0.2">
      <c r="A17546" t="str">
        <f>"UGT2B17"</f>
        <v>UGT2B17</v>
      </c>
      <c r="B17546" t="s">
        <v>6</v>
      </c>
    </row>
    <row r="17547" spans="1:2" x14ac:dyDescent="0.2">
      <c r="A17547" t="str">
        <f>"UGT2B4"</f>
        <v>UGT2B4</v>
      </c>
      <c r="B17547" t="s">
        <v>3</v>
      </c>
    </row>
    <row r="17548" spans="1:2" x14ac:dyDescent="0.2">
      <c r="A17548" t="str">
        <f>"UGT2B7"</f>
        <v>UGT2B7</v>
      </c>
      <c r="B17548" t="s">
        <v>6</v>
      </c>
    </row>
    <row r="17549" spans="1:2" x14ac:dyDescent="0.2">
      <c r="A17549" t="str">
        <f>"UGT3A1"</f>
        <v>UGT3A1</v>
      </c>
      <c r="B17549" t="s">
        <v>7</v>
      </c>
    </row>
    <row r="17550" spans="1:2" x14ac:dyDescent="0.2">
      <c r="A17550" t="str">
        <f>"UGT3A2"</f>
        <v>UGT3A2</v>
      </c>
      <c r="B17550" t="s">
        <v>2</v>
      </c>
    </row>
    <row r="17551" spans="1:2" x14ac:dyDescent="0.2">
      <c r="A17551" t="str">
        <f>"UGT8"</f>
        <v>UGT8</v>
      </c>
      <c r="B17551" t="s">
        <v>3</v>
      </c>
    </row>
    <row r="17552" spans="1:2" x14ac:dyDescent="0.2">
      <c r="A17552" t="str">
        <f>"UHMK1"</f>
        <v>UHMK1</v>
      </c>
      <c r="B17552" t="s">
        <v>7</v>
      </c>
    </row>
    <row r="17553" spans="1:2" x14ac:dyDescent="0.2">
      <c r="A17553" t="str">
        <f>"UHRF1"</f>
        <v>UHRF1</v>
      </c>
      <c r="B17553" t="s">
        <v>3</v>
      </c>
    </row>
    <row r="17554" spans="1:2" x14ac:dyDescent="0.2">
      <c r="A17554" t="str">
        <f>"UHRF1BP1"</f>
        <v>UHRF1BP1</v>
      </c>
      <c r="B17554" t="s">
        <v>4</v>
      </c>
    </row>
    <row r="17555" spans="1:2" x14ac:dyDescent="0.2">
      <c r="A17555" t="str">
        <f>"UHRF1BP1L"</f>
        <v>UHRF1BP1L</v>
      </c>
      <c r="B17555" t="s">
        <v>4</v>
      </c>
    </row>
    <row r="17556" spans="1:2" x14ac:dyDescent="0.2">
      <c r="A17556" t="str">
        <f>"UHRF2"</f>
        <v>UHRF2</v>
      </c>
      <c r="B17556" t="s">
        <v>3</v>
      </c>
    </row>
    <row r="17557" spans="1:2" x14ac:dyDescent="0.2">
      <c r="A17557" t="str">
        <f>"UIMC1"</f>
        <v>UIMC1</v>
      </c>
      <c r="B17557" t="s">
        <v>2</v>
      </c>
    </row>
    <row r="17558" spans="1:2" x14ac:dyDescent="0.2">
      <c r="A17558" t="str">
        <f>"ULBP1"</f>
        <v>ULBP1</v>
      </c>
      <c r="B17558" t="s">
        <v>6</v>
      </c>
    </row>
    <row r="17559" spans="1:2" x14ac:dyDescent="0.2">
      <c r="A17559" t="str">
        <f>"ULBP2"</f>
        <v>ULBP2</v>
      </c>
      <c r="B17559" t="s">
        <v>5</v>
      </c>
    </row>
    <row r="17560" spans="1:2" x14ac:dyDescent="0.2">
      <c r="A17560" t="str">
        <f>"ULBP3"</f>
        <v>ULBP3</v>
      </c>
      <c r="B17560" t="s">
        <v>4</v>
      </c>
    </row>
    <row r="17561" spans="1:2" x14ac:dyDescent="0.2">
      <c r="A17561" t="str">
        <f>"ULK1"</f>
        <v>ULK1</v>
      </c>
      <c r="B17561" t="s">
        <v>7</v>
      </c>
    </row>
    <row r="17562" spans="1:2" x14ac:dyDescent="0.2">
      <c r="A17562" t="str">
        <f>"ULK2"</f>
        <v>ULK2</v>
      </c>
      <c r="B17562" t="s">
        <v>7</v>
      </c>
    </row>
    <row r="17563" spans="1:2" x14ac:dyDescent="0.2">
      <c r="A17563" t="str">
        <f>"ULK3"</f>
        <v>ULK3</v>
      </c>
      <c r="B17563" t="s">
        <v>7</v>
      </c>
    </row>
    <row r="17564" spans="1:2" x14ac:dyDescent="0.2">
      <c r="A17564" t="str">
        <f>"ULK4"</f>
        <v>ULK4</v>
      </c>
      <c r="B17564" t="s">
        <v>7</v>
      </c>
    </row>
    <row r="17565" spans="1:2" x14ac:dyDescent="0.2">
      <c r="A17565" t="str">
        <f>"UMOD"</f>
        <v>UMOD</v>
      </c>
      <c r="B17565" t="s">
        <v>6</v>
      </c>
    </row>
    <row r="17566" spans="1:2" x14ac:dyDescent="0.2">
      <c r="A17566" t="str">
        <f>"UMODL1"</f>
        <v>UMODL1</v>
      </c>
      <c r="B17566" t="s">
        <v>5</v>
      </c>
    </row>
    <row r="17567" spans="1:2" x14ac:dyDescent="0.2">
      <c r="A17567" t="str">
        <f>"UMPS"</f>
        <v>UMPS</v>
      </c>
      <c r="B17567" t="s">
        <v>3</v>
      </c>
    </row>
    <row r="17568" spans="1:2" x14ac:dyDescent="0.2">
      <c r="A17568" t="str">
        <f>"UNC119"</f>
        <v>UNC119</v>
      </c>
      <c r="B17568" t="s">
        <v>4</v>
      </c>
    </row>
    <row r="17569" spans="1:2" x14ac:dyDescent="0.2">
      <c r="A17569" t="str">
        <f>"UNC119B"</f>
        <v>UNC119B</v>
      </c>
      <c r="B17569" t="s">
        <v>4</v>
      </c>
    </row>
    <row r="17570" spans="1:2" x14ac:dyDescent="0.2">
      <c r="A17570" t="str">
        <f>"UNC13A"</f>
        <v>UNC13A</v>
      </c>
      <c r="B17570" t="s">
        <v>2</v>
      </c>
    </row>
    <row r="17571" spans="1:2" x14ac:dyDescent="0.2">
      <c r="A17571" t="str">
        <f>"UNC13B"</f>
        <v>UNC13B</v>
      </c>
      <c r="B17571" t="s">
        <v>2</v>
      </c>
    </row>
    <row r="17572" spans="1:2" x14ac:dyDescent="0.2">
      <c r="A17572" t="str">
        <f>"UNC13C"</f>
        <v>UNC13C</v>
      </c>
      <c r="B17572" t="s">
        <v>6</v>
      </c>
    </row>
    <row r="17573" spans="1:2" x14ac:dyDescent="0.2">
      <c r="A17573" t="str">
        <f>"UNC13D"</f>
        <v>UNC13D</v>
      </c>
      <c r="B17573" t="s">
        <v>2</v>
      </c>
    </row>
    <row r="17574" spans="1:2" x14ac:dyDescent="0.2">
      <c r="A17574" t="str">
        <f>"UNC45A"</f>
        <v>UNC45A</v>
      </c>
      <c r="B17574" t="s">
        <v>2</v>
      </c>
    </row>
    <row r="17575" spans="1:2" x14ac:dyDescent="0.2">
      <c r="A17575" t="str">
        <f>"UNC45B"</f>
        <v>UNC45B</v>
      </c>
      <c r="B17575" t="s">
        <v>2</v>
      </c>
    </row>
    <row r="17576" spans="1:2" x14ac:dyDescent="0.2">
      <c r="A17576" t="str">
        <f>"UNC50"</f>
        <v>UNC50</v>
      </c>
      <c r="B17576" t="s">
        <v>2</v>
      </c>
    </row>
    <row r="17577" spans="1:2" x14ac:dyDescent="0.2">
      <c r="A17577" t="str">
        <f>"UNC5A"</f>
        <v>UNC5A</v>
      </c>
      <c r="B17577" t="s">
        <v>5</v>
      </c>
    </row>
    <row r="17578" spans="1:2" x14ac:dyDescent="0.2">
      <c r="A17578" t="str">
        <f>"UNC5B"</f>
        <v>UNC5B</v>
      </c>
      <c r="B17578" t="s">
        <v>5</v>
      </c>
    </row>
    <row r="17579" spans="1:2" x14ac:dyDescent="0.2">
      <c r="A17579" t="str">
        <f>"UNC5C"</f>
        <v>UNC5C</v>
      </c>
      <c r="B17579" t="s">
        <v>5</v>
      </c>
    </row>
    <row r="17580" spans="1:2" x14ac:dyDescent="0.2">
      <c r="A17580" t="str">
        <f>"UNC5CL"</f>
        <v>UNC5CL</v>
      </c>
      <c r="B17580" t="s">
        <v>5</v>
      </c>
    </row>
    <row r="17581" spans="1:2" x14ac:dyDescent="0.2">
      <c r="A17581" t="str">
        <f>"UNC5D"</f>
        <v>UNC5D</v>
      </c>
      <c r="B17581" t="s">
        <v>5</v>
      </c>
    </row>
    <row r="17582" spans="1:2" x14ac:dyDescent="0.2">
      <c r="A17582" t="str">
        <f>"UNC79"</f>
        <v>UNC79</v>
      </c>
      <c r="B17582" t="s">
        <v>3</v>
      </c>
    </row>
    <row r="17583" spans="1:2" x14ac:dyDescent="0.2">
      <c r="A17583" t="str">
        <f>"UNC80"</f>
        <v>UNC80</v>
      </c>
      <c r="B17583" t="s">
        <v>4</v>
      </c>
    </row>
    <row r="17584" spans="1:2" x14ac:dyDescent="0.2">
      <c r="A17584" t="str">
        <f>"UNC93A"</f>
        <v>UNC93A</v>
      </c>
      <c r="B17584" t="s">
        <v>5</v>
      </c>
    </row>
    <row r="17585" spans="1:2" x14ac:dyDescent="0.2">
      <c r="A17585" t="str">
        <f>"UNC93B1"</f>
        <v>UNC93B1</v>
      </c>
      <c r="B17585" t="s">
        <v>6</v>
      </c>
    </row>
    <row r="17586" spans="1:2" x14ac:dyDescent="0.2">
      <c r="A17586" t="str">
        <f>"UNCX"</f>
        <v>UNCX</v>
      </c>
      <c r="B17586" t="s">
        <v>8</v>
      </c>
    </row>
    <row r="17587" spans="1:2" x14ac:dyDescent="0.2">
      <c r="A17587" t="str">
        <f>"UNG"</f>
        <v>UNG</v>
      </c>
      <c r="B17587" t="s">
        <v>3</v>
      </c>
    </row>
    <row r="17588" spans="1:2" x14ac:dyDescent="0.2">
      <c r="A17588" t="str">
        <f>"UNK"</f>
        <v>UNK</v>
      </c>
      <c r="B17588" t="s">
        <v>2</v>
      </c>
    </row>
    <row r="17589" spans="1:2" x14ac:dyDescent="0.2">
      <c r="A17589" t="str">
        <f>"UNKL"</f>
        <v>UNKL</v>
      </c>
      <c r="B17589" t="s">
        <v>2</v>
      </c>
    </row>
    <row r="17590" spans="1:2" x14ac:dyDescent="0.2">
      <c r="A17590" t="str">
        <f>"UPB1"</f>
        <v>UPB1</v>
      </c>
      <c r="B17590" t="s">
        <v>3</v>
      </c>
    </row>
    <row r="17591" spans="1:2" x14ac:dyDescent="0.2">
      <c r="A17591" t="str">
        <f>"UPF1"</f>
        <v>UPF1</v>
      </c>
      <c r="B17591" t="s">
        <v>3</v>
      </c>
    </row>
    <row r="17592" spans="1:2" x14ac:dyDescent="0.2">
      <c r="A17592" t="str">
        <f>"UPF2"</f>
        <v>UPF2</v>
      </c>
      <c r="B17592" t="s">
        <v>3</v>
      </c>
    </row>
    <row r="17593" spans="1:2" x14ac:dyDescent="0.2">
      <c r="A17593" t="str">
        <f>"UPF3A"</f>
        <v>UPF3A</v>
      </c>
      <c r="B17593" t="s">
        <v>8</v>
      </c>
    </row>
    <row r="17594" spans="1:2" x14ac:dyDescent="0.2">
      <c r="A17594" t="str">
        <f>"UPF3B"</f>
        <v>UPF3B</v>
      </c>
      <c r="B17594" t="s">
        <v>8</v>
      </c>
    </row>
    <row r="17595" spans="1:2" x14ac:dyDescent="0.2">
      <c r="A17595" t="str">
        <f>"UPK1A"</f>
        <v>UPK1A</v>
      </c>
      <c r="B17595" t="s">
        <v>2</v>
      </c>
    </row>
    <row r="17596" spans="1:2" x14ac:dyDescent="0.2">
      <c r="A17596" t="str">
        <f>"UPK1B"</f>
        <v>UPK1B</v>
      </c>
      <c r="B17596" t="s">
        <v>5</v>
      </c>
    </row>
    <row r="17597" spans="1:2" x14ac:dyDescent="0.2">
      <c r="A17597" t="str">
        <f>"UPK2"</f>
        <v>UPK2</v>
      </c>
      <c r="B17597" t="s">
        <v>6</v>
      </c>
    </row>
    <row r="17598" spans="1:2" x14ac:dyDescent="0.2">
      <c r="A17598" t="str">
        <f>"UPK3A"</f>
        <v>UPK3A</v>
      </c>
      <c r="B17598" t="s">
        <v>6</v>
      </c>
    </row>
    <row r="17599" spans="1:2" x14ac:dyDescent="0.2">
      <c r="A17599" t="str">
        <f>"UPK3B"</f>
        <v>UPK3B</v>
      </c>
      <c r="B17599" t="s">
        <v>6</v>
      </c>
    </row>
    <row r="17600" spans="1:2" x14ac:dyDescent="0.2">
      <c r="A17600" t="str">
        <f>"UPK3BL"</f>
        <v>UPK3BL</v>
      </c>
      <c r="B17600" t="s">
        <v>5</v>
      </c>
    </row>
    <row r="17601" spans="1:2" x14ac:dyDescent="0.2">
      <c r="A17601" t="str">
        <f>"UPP1"</f>
        <v>UPP1</v>
      </c>
      <c r="B17601" t="s">
        <v>7</v>
      </c>
    </row>
    <row r="17602" spans="1:2" x14ac:dyDescent="0.2">
      <c r="A17602" t="str">
        <f>"UPP2"</f>
        <v>UPP2</v>
      </c>
      <c r="B17602" t="s">
        <v>3</v>
      </c>
    </row>
    <row r="17603" spans="1:2" x14ac:dyDescent="0.2">
      <c r="A17603" t="str">
        <f>"UPRT"</f>
        <v>UPRT</v>
      </c>
      <c r="B17603" t="s">
        <v>3</v>
      </c>
    </row>
    <row r="17604" spans="1:2" x14ac:dyDescent="0.2">
      <c r="A17604" t="str">
        <f>"UQCC1"</f>
        <v>UQCC1</v>
      </c>
      <c r="B17604" t="s">
        <v>6</v>
      </c>
    </row>
    <row r="17605" spans="1:2" x14ac:dyDescent="0.2">
      <c r="A17605" t="str">
        <f>"UQCC2"</f>
        <v>UQCC2</v>
      </c>
      <c r="B17605" t="s">
        <v>6</v>
      </c>
    </row>
    <row r="17606" spans="1:2" x14ac:dyDescent="0.2">
      <c r="A17606" t="str">
        <f>"UQCR10"</f>
        <v>UQCR10</v>
      </c>
      <c r="B17606" t="s">
        <v>7</v>
      </c>
    </row>
    <row r="17607" spans="1:2" x14ac:dyDescent="0.2">
      <c r="A17607" t="str">
        <f>"UQCR11"</f>
        <v>UQCR11</v>
      </c>
      <c r="B17607" t="s">
        <v>3</v>
      </c>
    </row>
    <row r="17608" spans="1:2" x14ac:dyDescent="0.2">
      <c r="A17608" t="str">
        <f>"UQCRB"</f>
        <v>UQCRB</v>
      </c>
      <c r="B17608" t="s">
        <v>7</v>
      </c>
    </row>
    <row r="17609" spans="1:2" x14ac:dyDescent="0.2">
      <c r="A17609" t="str">
        <f>"UQCRC1"</f>
        <v>UQCRC1</v>
      </c>
      <c r="B17609" t="s">
        <v>7</v>
      </c>
    </row>
    <row r="17610" spans="1:2" x14ac:dyDescent="0.2">
      <c r="A17610" t="str">
        <f>"UQCRC2"</f>
        <v>UQCRC2</v>
      </c>
      <c r="B17610" t="s">
        <v>3</v>
      </c>
    </row>
    <row r="17611" spans="1:2" x14ac:dyDescent="0.2">
      <c r="A17611" t="str">
        <f>"UQCRFS1"</f>
        <v>UQCRFS1</v>
      </c>
      <c r="B17611" t="s">
        <v>3</v>
      </c>
    </row>
    <row r="17612" spans="1:2" x14ac:dyDescent="0.2">
      <c r="A17612" t="str">
        <f>"UQCRH"</f>
        <v>UQCRH</v>
      </c>
      <c r="B17612" t="s">
        <v>3</v>
      </c>
    </row>
    <row r="17613" spans="1:2" x14ac:dyDescent="0.2">
      <c r="A17613" t="str">
        <f>"UQCRHL"</f>
        <v>UQCRHL</v>
      </c>
      <c r="B17613" t="s">
        <v>6</v>
      </c>
    </row>
    <row r="17614" spans="1:2" x14ac:dyDescent="0.2">
      <c r="A17614" t="str">
        <f>"UQCRQ"</f>
        <v>UQCRQ</v>
      </c>
      <c r="B17614" t="s">
        <v>7</v>
      </c>
    </row>
    <row r="17615" spans="1:2" x14ac:dyDescent="0.2">
      <c r="A17615" t="str">
        <f>"URAD"</f>
        <v>URAD</v>
      </c>
      <c r="B17615" t="s">
        <v>4</v>
      </c>
    </row>
    <row r="17616" spans="1:2" x14ac:dyDescent="0.2">
      <c r="A17616" t="str">
        <f>"URB1"</f>
        <v>URB1</v>
      </c>
      <c r="B17616" t="s">
        <v>4</v>
      </c>
    </row>
    <row r="17617" spans="1:2" x14ac:dyDescent="0.2">
      <c r="A17617" t="str">
        <f>"URB2"</f>
        <v>URB2</v>
      </c>
      <c r="B17617" t="s">
        <v>3</v>
      </c>
    </row>
    <row r="17618" spans="1:2" x14ac:dyDescent="0.2">
      <c r="A17618" t="str">
        <f>"URGCP"</f>
        <v>URGCP</v>
      </c>
      <c r="B17618" t="s">
        <v>4</v>
      </c>
    </row>
    <row r="17619" spans="1:2" x14ac:dyDescent="0.2">
      <c r="A17619" t="str">
        <f>"URGCP-MRPS24"</f>
        <v>URGCP-MRPS24</v>
      </c>
      <c r="B17619" t="s">
        <v>4</v>
      </c>
    </row>
    <row r="17620" spans="1:2" x14ac:dyDescent="0.2">
      <c r="A17620" t="str">
        <f>"URI1"</f>
        <v>URI1</v>
      </c>
      <c r="B17620" t="s">
        <v>2</v>
      </c>
    </row>
    <row r="17621" spans="1:2" x14ac:dyDescent="0.2">
      <c r="A17621" t="str">
        <f>"URM1"</f>
        <v>URM1</v>
      </c>
      <c r="B17621" t="s">
        <v>2</v>
      </c>
    </row>
    <row r="17622" spans="1:2" x14ac:dyDescent="0.2">
      <c r="A17622" t="str">
        <f>"UROC1"</f>
        <v>UROC1</v>
      </c>
      <c r="B17622" t="s">
        <v>3</v>
      </c>
    </row>
    <row r="17623" spans="1:2" x14ac:dyDescent="0.2">
      <c r="A17623" t="str">
        <f>"UROD"</f>
        <v>UROD</v>
      </c>
      <c r="B17623" t="s">
        <v>7</v>
      </c>
    </row>
    <row r="17624" spans="1:2" x14ac:dyDescent="0.2">
      <c r="A17624" t="str">
        <f>"UROS"</f>
        <v>UROS</v>
      </c>
      <c r="B17624" t="s">
        <v>6</v>
      </c>
    </row>
    <row r="17625" spans="1:2" x14ac:dyDescent="0.2">
      <c r="A17625" t="str">
        <f>"USB1"</f>
        <v>USB1</v>
      </c>
      <c r="B17625" t="s">
        <v>4</v>
      </c>
    </row>
    <row r="17626" spans="1:2" x14ac:dyDescent="0.2">
      <c r="A17626" t="str">
        <f>"USE1"</f>
        <v>USE1</v>
      </c>
      <c r="B17626" t="s">
        <v>2</v>
      </c>
    </row>
    <row r="17627" spans="1:2" x14ac:dyDescent="0.2">
      <c r="A17627" t="str">
        <f>"USF1"</f>
        <v>USF1</v>
      </c>
      <c r="B17627" t="s">
        <v>8</v>
      </c>
    </row>
    <row r="17628" spans="1:2" x14ac:dyDescent="0.2">
      <c r="A17628" t="str">
        <f>"USF2"</f>
        <v>USF2</v>
      </c>
      <c r="B17628" t="s">
        <v>8</v>
      </c>
    </row>
    <row r="17629" spans="1:2" x14ac:dyDescent="0.2">
      <c r="A17629" t="str">
        <f>"USH1C"</f>
        <v>USH1C</v>
      </c>
      <c r="B17629" t="s">
        <v>3</v>
      </c>
    </row>
    <row r="17630" spans="1:2" x14ac:dyDescent="0.2">
      <c r="A17630" t="str">
        <f>"USH1G"</f>
        <v>USH1G</v>
      </c>
      <c r="B17630" t="s">
        <v>6</v>
      </c>
    </row>
    <row r="17631" spans="1:2" x14ac:dyDescent="0.2">
      <c r="A17631" t="str">
        <f>"USH2A"</f>
        <v>USH2A</v>
      </c>
      <c r="B17631" t="s">
        <v>5</v>
      </c>
    </row>
    <row r="17632" spans="1:2" x14ac:dyDescent="0.2">
      <c r="A17632" t="str">
        <f>"USHBP1"</f>
        <v>USHBP1</v>
      </c>
      <c r="B17632" t="s">
        <v>4</v>
      </c>
    </row>
    <row r="17633" spans="1:2" x14ac:dyDescent="0.2">
      <c r="A17633" t="str">
        <f>"USMG5"</f>
        <v>USMG5</v>
      </c>
      <c r="B17633" t="s">
        <v>6</v>
      </c>
    </row>
    <row r="17634" spans="1:2" x14ac:dyDescent="0.2">
      <c r="A17634" t="str">
        <f>"USO1"</f>
        <v>USO1</v>
      </c>
      <c r="B17634" t="s">
        <v>2</v>
      </c>
    </row>
    <row r="17635" spans="1:2" x14ac:dyDescent="0.2">
      <c r="A17635" t="str">
        <f>"USP1"</f>
        <v>USP1</v>
      </c>
      <c r="B17635" t="s">
        <v>2</v>
      </c>
    </row>
    <row r="17636" spans="1:2" x14ac:dyDescent="0.2">
      <c r="A17636" t="str">
        <f>"USP10"</f>
        <v>USP10</v>
      </c>
      <c r="B17636" t="s">
        <v>2</v>
      </c>
    </row>
    <row r="17637" spans="1:2" x14ac:dyDescent="0.2">
      <c r="A17637" t="str">
        <f>"USP11"</f>
        <v>USP11</v>
      </c>
      <c r="B17637" t="s">
        <v>2</v>
      </c>
    </row>
    <row r="17638" spans="1:2" x14ac:dyDescent="0.2">
      <c r="A17638" t="str">
        <f>"USP12"</f>
        <v>USP12</v>
      </c>
      <c r="B17638" t="s">
        <v>2</v>
      </c>
    </row>
    <row r="17639" spans="1:2" x14ac:dyDescent="0.2">
      <c r="A17639" t="str">
        <f>"USP13"</f>
        <v>USP13</v>
      </c>
      <c r="B17639" t="s">
        <v>2</v>
      </c>
    </row>
    <row r="17640" spans="1:2" x14ac:dyDescent="0.2">
      <c r="A17640" t="str">
        <f>"USP14"</f>
        <v>USP14</v>
      </c>
      <c r="B17640" t="s">
        <v>2</v>
      </c>
    </row>
    <row r="17641" spans="1:2" x14ac:dyDescent="0.2">
      <c r="A17641" t="str">
        <f>"USP15"</f>
        <v>USP15</v>
      </c>
      <c r="B17641" t="s">
        <v>2</v>
      </c>
    </row>
    <row r="17642" spans="1:2" x14ac:dyDescent="0.2">
      <c r="A17642" t="str">
        <f>"USP16"</f>
        <v>USP16</v>
      </c>
      <c r="B17642" t="s">
        <v>2</v>
      </c>
    </row>
    <row r="17643" spans="1:2" x14ac:dyDescent="0.2">
      <c r="A17643" t="str">
        <f>"USP18"</f>
        <v>USP18</v>
      </c>
      <c r="B17643" t="s">
        <v>2</v>
      </c>
    </row>
    <row r="17644" spans="1:2" x14ac:dyDescent="0.2">
      <c r="A17644" t="str">
        <f>"USP19"</f>
        <v>USP19</v>
      </c>
      <c r="B17644" t="s">
        <v>2</v>
      </c>
    </row>
    <row r="17645" spans="1:2" x14ac:dyDescent="0.2">
      <c r="A17645" t="str">
        <f>"USP2"</f>
        <v>USP2</v>
      </c>
      <c r="B17645" t="s">
        <v>2</v>
      </c>
    </row>
    <row r="17646" spans="1:2" x14ac:dyDescent="0.2">
      <c r="A17646" t="str">
        <f>"USP20"</f>
        <v>USP20</v>
      </c>
      <c r="B17646" t="s">
        <v>2</v>
      </c>
    </row>
    <row r="17647" spans="1:2" x14ac:dyDescent="0.2">
      <c r="A17647" t="str">
        <f>"USP21"</f>
        <v>USP21</v>
      </c>
      <c r="B17647" t="s">
        <v>2</v>
      </c>
    </row>
    <row r="17648" spans="1:2" x14ac:dyDescent="0.2">
      <c r="A17648" t="str">
        <f>"USP22"</f>
        <v>USP22</v>
      </c>
      <c r="B17648" t="s">
        <v>2</v>
      </c>
    </row>
    <row r="17649" spans="1:2" x14ac:dyDescent="0.2">
      <c r="A17649" t="str">
        <f>"USP24"</f>
        <v>USP24</v>
      </c>
      <c r="B17649" t="s">
        <v>2</v>
      </c>
    </row>
    <row r="17650" spans="1:2" x14ac:dyDescent="0.2">
      <c r="A17650" t="str">
        <f>"USP25"</f>
        <v>USP25</v>
      </c>
      <c r="B17650" t="s">
        <v>2</v>
      </c>
    </row>
    <row r="17651" spans="1:2" x14ac:dyDescent="0.2">
      <c r="A17651" t="str">
        <f>"USP26"</f>
        <v>USP26</v>
      </c>
      <c r="B17651" t="s">
        <v>2</v>
      </c>
    </row>
    <row r="17652" spans="1:2" x14ac:dyDescent="0.2">
      <c r="A17652" t="str">
        <f>"USP27X"</f>
        <v>USP27X</v>
      </c>
      <c r="B17652" t="s">
        <v>2</v>
      </c>
    </row>
    <row r="17653" spans="1:2" x14ac:dyDescent="0.2">
      <c r="A17653" t="str">
        <f>"USP28"</f>
        <v>USP28</v>
      </c>
      <c r="B17653" t="s">
        <v>2</v>
      </c>
    </row>
    <row r="17654" spans="1:2" x14ac:dyDescent="0.2">
      <c r="A17654" t="str">
        <f>"USP29"</f>
        <v>USP29</v>
      </c>
      <c r="B17654" t="s">
        <v>2</v>
      </c>
    </row>
    <row r="17655" spans="1:2" x14ac:dyDescent="0.2">
      <c r="A17655" t="str">
        <f>"USP3"</f>
        <v>USP3</v>
      </c>
      <c r="B17655" t="s">
        <v>2</v>
      </c>
    </row>
    <row r="17656" spans="1:2" x14ac:dyDescent="0.2">
      <c r="A17656" t="str">
        <f>"USP30"</f>
        <v>USP30</v>
      </c>
      <c r="B17656" t="s">
        <v>2</v>
      </c>
    </row>
    <row r="17657" spans="1:2" x14ac:dyDescent="0.2">
      <c r="A17657" t="str">
        <f>"USP31"</f>
        <v>USP31</v>
      </c>
      <c r="B17657" t="s">
        <v>2</v>
      </c>
    </row>
    <row r="17658" spans="1:2" x14ac:dyDescent="0.2">
      <c r="A17658" t="str">
        <f>"USP32"</f>
        <v>USP32</v>
      </c>
      <c r="B17658" t="s">
        <v>2</v>
      </c>
    </row>
    <row r="17659" spans="1:2" x14ac:dyDescent="0.2">
      <c r="A17659" t="str">
        <f>"USP33"</f>
        <v>USP33</v>
      </c>
      <c r="B17659" t="s">
        <v>2</v>
      </c>
    </row>
    <row r="17660" spans="1:2" x14ac:dyDescent="0.2">
      <c r="A17660" t="str">
        <f>"USP34"</f>
        <v>USP34</v>
      </c>
      <c r="B17660" t="s">
        <v>2</v>
      </c>
    </row>
    <row r="17661" spans="1:2" x14ac:dyDescent="0.2">
      <c r="A17661" t="str">
        <f>"USP35"</f>
        <v>USP35</v>
      </c>
      <c r="B17661" t="s">
        <v>2</v>
      </c>
    </row>
    <row r="17662" spans="1:2" x14ac:dyDescent="0.2">
      <c r="A17662" t="str">
        <f>"USP36"</f>
        <v>USP36</v>
      </c>
      <c r="B17662" t="s">
        <v>2</v>
      </c>
    </row>
    <row r="17663" spans="1:2" x14ac:dyDescent="0.2">
      <c r="A17663" t="str">
        <f>"USP37"</f>
        <v>USP37</v>
      </c>
      <c r="B17663" t="s">
        <v>2</v>
      </c>
    </row>
    <row r="17664" spans="1:2" x14ac:dyDescent="0.2">
      <c r="A17664" t="str">
        <f>"USP38"</f>
        <v>USP38</v>
      </c>
      <c r="B17664" t="s">
        <v>2</v>
      </c>
    </row>
    <row r="17665" spans="1:2" x14ac:dyDescent="0.2">
      <c r="A17665" t="str">
        <f>"USP39"</f>
        <v>USP39</v>
      </c>
      <c r="B17665" t="s">
        <v>2</v>
      </c>
    </row>
    <row r="17666" spans="1:2" x14ac:dyDescent="0.2">
      <c r="A17666" t="str">
        <f>"USP4"</f>
        <v>USP4</v>
      </c>
      <c r="B17666" t="s">
        <v>2</v>
      </c>
    </row>
    <row r="17667" spans="1:2" x14ac:dyDescent="0.2">
      <c r="A17667" t="str">
        <f>"USP40"</f>
        <v>USP40</v>
      </c>
      <c r="B17667" t="s">
        <v>2</v>
      </c>
    </row>
    <row r="17668" spans="1:2" x14ac:dyDescent="0.2">
      <c r="A17668" t="str">
        <f>"USP41"</f>
        <v>USP41</v>
      </c>
      <c r="B17668" t="s">
        <v>2</v>
      </c>
    </row>
    <row r="17669" spans="1:2" x14ac:dyDescent="0.2">
      <c r="A17669" t="str">
        <f>"USP42"</f>
        <v>USP42</v>
      </c>
      <c r="B17669" t="s">
        <v>2</v>
      </c>
    </row>
    <row r="17670" spans="1:2" x14ac:dyDescent="0.2">
      <c r="A17670" t="str">
        <f>"USP43"</f>
        <v>USP43</v>
      </c>
      <c r="B17670" t="s">
        <v>2</v>
      </c>
    </row>
    <row r="17671" spans="1:2" x14ac:dyDescent="0.2">
      <c r="A17671" t="str">
        <f>"USP44"</f>
        <v>USP44</v>
      </c>
      <c r="B17671" t="s">
        <v>2</v>
      </c>
    </row>
    <row r="17672" spans="1:2" x14ac:dyDescent="0.2">
      <c r="A17672" t="str">
        <f>"USP45"</f>
        <v>USP45</v>
      </c>
      <c r="B17672" t="s">
        <v>2</v>
      </c>
    </row>
    <row r="17673" spans="1:2" x14ac:dyDescent="0.2">
      <c r="A17673" t="str">
        <f>"USP46"</f>
        <v>USP46</v>
      </c>
      <c r="B17673" t="s">
        <v>2</v>
      </c>
    </row>
    <row r="17674" spans="1:2" x14ac:dyDescent="0.2">
      <c r="A17674" t="str">
        <f>"USP47"</f>
        <v>USP47</v>
      </c>
      <c r="B17674" t="s">
        <v>2</v>
      </c>
    </row>
    <row r="17675" spans="1:2" x14ac:dyDescent="0.2">
      <c r="A17675" t="str">
        <f>"USP48"</f>
        <v>USP48</v>
      </c>
      <c r="B17675" t="s">
        <v>2</v>
      </c>
    </row>
    <row r="17676" spans="1:2" x14ac:dyDescent="0.2">
      <c r="A17676" t="str">
        <f>"USP49"</f>
        <v>USP49</v>
      </c>
      <c r="B17676" t="s">
        <v>2</v>
      </c>
    </row>
    <row r="17677" spans="1:2" x14ac:dyDescent="0.2">
      <c r="A17677" t="str">
        <f>"USP5"</f>
        <v>USP5</v>
      </c>
      <c r="B17677" t="s">
        <v>2</v>
      </c>
    </row>
    <row r="17678" spans="1:2" x14ac:dyDescent="0.2">
      <c r="A17678" t="str">
        <f>"USP50"</f>
        <v>USP50</v>
      </c>
      <c r="B17678" t="s">
        <v>2</v>
      </c>
    </row>
    <row r="17679" spans="1:2" x14ac:dyDescent="0.2">
      <c r="A17679" t="str">
        <f>"USP51"</f>
        <v>USP51</v>
      </c>
      <c r="B17679" t="s">
        <v>2</v>
      </c>
    </row>
    <row r="17680" spans="1:2" x14ac:dyDescent="0.2">
      <c r="A17680" t="str">
        <f>"USP53"</f>
        <v>USP53</v>
      </c>
      <c r="B17680" t="s">
        <v>2</v>
      </c>
    </row>
    <row r="17681" spans="1:2" x14ac:dyDescent="0.2">
      <c r="A17681" t="str">
        <f>"USP54"</f>
        <v>USP54</v>
      </c>
      <c r="B17681" t="s">
        <v>2</v>
      </c>
    </row>
    <row r="17682" spans="1:2" x14ac:dyDescent="0.2">
      <c r="A17682" t="str">
        <f>"USP6"</f>
        <v>USP6</v>
      </c>
      <c r="B17682" t="s">
        <v>4</v>
      </c>
    </row>
    <row r="17683" spans="1:2" x14ac:dyDescent="0.2">
      <c r="A17683" t="str">
        <f>"USP6NL"</f>
        <v>USP6NL</v>
      </c>
      <c r="B17683" t="s">
        <v>4</v>
      </c>
    </row>
    <row r="17684" spans="1:2" x14ac:dyDescent="0.2">
      <c r="A17684" t="str">
        <f>"USP7"</f>
        <v>USP7</v>
      </c>
      <c r="B17684" t="s">
        <v>2</v>
      </c>
    </row>
    <row r="17685" spans="1:2" x14ac:dyDescent="0.2">
      <c r="A17685" t="str">
        <f>"USP8"</f>
        <v>USP8</v>
      </c>
      <c r="B17685" t="s">
        <v>2</v>
      </c>
    </row>
    <row r="17686" spans="1:2" x14ac:dyDescent="0.2">
      <c r="A17686" t="str">
        <f>"USP9X"</f>
        <v>USP9X</v>
      </c>
      <c r="B17686" t="s">
        <v>2</v>
      </c>
    </row>
    <row r="17687" spans="1:2" x14ac:dyDescent="0.2">
      <c r="A17687" t="str">
        <f>"USP9Y"</f>
        <v>USP9Y</v>
      </c>
      <c r="B17687" t="s">
        <v>2</v>
      </c>
    </row>
    <row r="17688" spans="1:2" x14ac:dyDescent="0.2">
      <c r="A17688" t="str">
        <f>"USPL1"</f>
        <v>USPL1</v>
      </c>
      <c r="B17688" t="s">
        <v>2</v>
      </c>
    </row>
    <row r="17689" spans="1:2" x14ac:dyDescent="0.2">
      <c r="A17689" t="str">
        <f>"UST"</f>
        <v>UST</v>
      </c>
      <c r="B17689" t="s">
        <v>5</v>
      </c>
    </row>
    <row r="17690" spans="1:2" x14ac:dyDescent="0.2">
      <c r="A17690" t="str">
        <f>"UTF1"</f>
        <v>UTF1</v>
      </c>
      <c r="B17690" t="s">
        <v>8</v>
      </c>
    </row>
    <row r="17691" spans="1:2" x14ac:dyDescent="0.2">
      <c r="A17691" t="str">
        <f>"UTP11L"</f>
        <v>UTP11L</v>
      </c>
      <c r="B17691" t="s">
        <v>3</v>
      </c>
    </row>
    <row r="17692" spans="1:2" x14ac:dyDescent="0.2">
      <c r="A17692" t="str">
        <f>"UTP14A"</f>
        <v>UTP14A</v>
      </c>
      <c r="B17692" t="s">
        <v>8</v>
      </c>
    </row>
    <row r="17693" spans="1:2" x14ac:dyDescent="0.2">
      <c r="A17693" t="str">
        <f>"UTP14C"</f>
        <v>UTP14C</v>
      </c>
      <c r="B17693" t="s">
        <v>4</v>
      </c>
    </row>
    <row r="17694" spans="1:2" x14ac:dyDescent="0.2">
      <c r="A17694" t="str">
        <f>"UTP15"</f>
        <v>UTP15</v>
      </c>
      <c r="B17694" t="s">
        <v>6</v>
      </c>
    </row>
    <row r="17695" spans="1:2" x14ac:dyDescent="0.2">
      <c r="A17695" t="str">
        <f>"UTP18"</f>
        <v>UTP18</v>
      </c>
      <c r="B17695" t="s">
        <v>8</v>
      </c>
    </row>
    <row r="17696" spans="1:2" x14ac:dyDescent="0.2">
      <c r="A17696" t="str">
        <f>"UTP20"</f>
        <v>UTP20</v>
      </c>
      <c r="B17696" t="s">
        <v>8</v>
      </c>
    </row>
    <row r="17697" spans="1:2" x14ac:dyDescent="0.2">
      <c r="A17697" t="str">
        <f>"UTP23"</f>
        <v>UTP23</v>
      </c>
      <c r="B17697" t="s">
        <v>6</v>
      </c>
    </row>
    <row r="17698" spans="1:2" x14ac:dyDescent="0.2">
      <c r="A17698" t="str">
        <f>"UTP3"</f>
        <v>UTP3</v>
      </c>
      <c r="B17698" t="s">
        <v>8</v>
      </c>
    </row>
    <row r="17699" spans="1:2" x14ac:dyDescent="0.2">
      <c r="A17699" t="str">
        <f>"UTP6"</f>
        <v>UTP6</v>
      </c>
      <c r="B17699" t="s">
        <v>8</v>
      </c>
    </row>
    <row r="17700" spans="1:2" x14ac:dyDescent="0.2">
      <c r="A17700" t="str">
        <f>"UTRN"</f>
        <v>UTRN</v>
      </c>
      <c r="B17700" t="s">
        <v>6</v>
      </c>
    </row>
    <row r="17701" spans="1:2" x14ac:dyDescent="0.2">
      <c r="A17701" t="str">
        <f>"UTS2"</f>
        <v>UTS2</v>
      </c>
      <c r="B17701" t="s">
        <v>4</v>
      </c>
    </row>
    <row r="17702" spans="1:2" x14ac:dyDescent="0.2">
      <c r="A17702" t="str">
        <f>"UTS2B"</f>
        <v>UTS2B</v>
      </c>
      <c r="B17702" t="s">
        <v>4</v>
      </c>
    </row>
    <row r="17703" spans="1:2" x14ac:dyDescent="0.2">
      <c r="A17703" t="str">
        <f>"UTS2R"</f>
        <v>UTS2R</v>
      </c>
      <c r="B17703" t="s">
        <v>6</v>
      </c>
    </row>
    <row r="17704" spans="1:2" x14ac:dyDescent="0.2">
      <c r="A17704" t="str">
        <f>"UTY"</f>
        <v>UTY</v>
      </c>
      <c r="B17704" t="s">
        <v>6</v>
      </c>
    </row>
    <row r="17705" spans="1:2" x14ac:dyDescent="0.2">
      <c r="A17705" t="str">
        <f>"UVRAG"</f>
        <v>UVRAG</v>
      </c>
      <c r="B17705" t="s">
        <v>2</v>
      </c>
    </row>
    <row r="17706" spans="1:2" x14ac:dyDescent="0.2">
      <c r="A17706" t="str">
        <f>"UVSSA"</f>
        <v>UVSSA</v>
      </c>
      <c r="B17706" t="s">
        <v>4</v>
      </c>
    </row>
    <row r="17707" spans="1:2" x14ac:dyDescent="0.2">
      <c r="A17707" t="str">
        <f>"UXS1"</f>
        <v>UXS1</v>
      </c>
      <c r="B17707" t="s">
        <v>6</v>
      </c>
    </row>
    <row r="17708" spans="1:2" x14ac:dyDescent="0.2">
      <c r="A17708" t="str">
        <f>"UXT"</f>
        <v>UXT</v>
      </c>
      <c r="B17708" t="s">
        <v>3</v>
      </c>
    </row>
    <row r="17709" spans="1:2" x14ac:dyDescent="0.2">
      <c r="A17709" t="str">
        <f>"VAC14"</f>
        <v>VAC14</v>
      </c>
      <c r="B17709" t="s">
        <v>2</v>
      </c>
    </row>
    <row r="17710" spans="1:2" x14ac:dyDescent="0.2">
      <c r="A17710" t="str">
        <f>"VAMP1"</f>
        <v>VAMP1</v>
      </c>
      <c r="B17710" t="s">
        <v>7</v>
      </c>
    </row>
    <row r="17711" spans="1:2" x14ac:dyDescent="0.2">
      <c r="A17711" t="str">
        <f>"VAMP2"</f>
        <v>VAMP2</v>
      </c>
      <c r="B17711" t="s">
        <v>7</v>
      </c>
    </row>
    <row r="17712" spans="1:2" x14ac:dyDescent="0.2">
      <c r="A17712" t="str">
        <f>"VAMP3"</f>
        <v>VAMP3</v>
      </c>
      <c r="B17712" t="s">
        <v>6</v>
      </c>
    </row>
    <row r="17713" spans="1:2" x14ac:dyDescent="0.2">
      <c r="A17713" t="str">
        <f>"VAMP4"</f>
        <v>VAMP4</v>
      </c>
      <c r="B17713" t="s">
        <v>2</v>
      </c>
    </row>
    <row r="17714" spans="1:2" x14ac:dyDescent="0.2">
      <c r="A17714" t="str">
        <f>"VAMP5"</f>
        <v>VAMP5</v>
      </c>
      <c r="B17714" t="s">
        <v>2</v>
      </c>
    </row>
    <row r="17715" spans="1:2" x14ac:dyDescent="0.2">
      <c r="A17715" t="str">
        <f>"VAMP7"</f>
        <v>VAMP7</v>
      </c>
      <c r="B17715" t="s">
        <v>6</v>
      </c>
    </row>
    <row r="17716" spans="1:2" x14ac:dyDescent="0.2">
      <c r="A17716" t="str">
        <f>"VAMP8"</f>
        <v>VAMP8</v>
      </c>
      <c r="B17716" t="s">
        <v>6</v>
      </c>
    </row>
    <row r="17717" spans="1:2" x14ac:dyDescent="0.2">
      <c r="A17717" t="str">
        <f>"VANGL1"</f>
        <v>VANGL1</v>
      </c>
      <c r="B17717" t="s">
        <v>5</v>
      </c>
    </row>
    <row r="17718" spans="1:2" x14ac:dyDescent="0.2">
      <c r="A17718" t="str">
        <f>"VANGL2"</f>
        <v>VANGL2</v>
      </c>
      <c r="B17718" t="s">
        <v>5</v>
      </c>
    </row>
    <row r="17719" spans="1:2" x14ac:dyDescent="0.2">
      <c r="A17719" t="str">
        <f>"VAPA"</f>
        <v>VAPA</v>
      </c>
      <c r="B17719" t="s">
        <v>6</v>
      </c>
    </row>
    <row r="17720" spans="1:2" x14ac:dyDescent="0.2">
      <c r="A17720" t="str">
        <f>"VAPB"</f>
        <v>VAPB</v>
      </c>
      <c r="B17720" t="s">
        <v>6</v>
      </c>
    </row>
    <row r="17721" spans="1:2" x14ac:dyDescent="0.2">
      <c r="A17721" t="str">
        <f>"VARS"</f>
        <v>VARS</v>
      </c>
      <c r="B17721" t="s">
        <v>7</v>
      </c>
    </row>
    <row r="17722" spans="1:2" x14ac:dyDescent="0.2">
      <c r="A17722" t="str">
        <f>"VARS2"</f>
        <v>VARS2</v>
      </c>
      <c r="B17722" t="s">
        <v>6</v>
      </c>
    </row>
    <row r="17723" spans="1:2" x14ac:dyDescent="0.2">
      <c r="A17723" t="str">
        <f>"VASH1"</f>
        <v>VASH1</v>
      </c>
      <c r="B17723" t="s">
        <v>3</v>
      </c>
    </row>
    <row r="17724" spans="1:2" x14ac:dyDescent="0.2">
      <c r="A17724" t="str">
        <f>"VASH2"</f>
        <v>VASH2</v>
      </c>
      <c r="B17724" t="s">
        <v>4</v>
      </c>
    </row>
    <row r="17725" spans="1:2" x14ac:dyDescent="0.2">
      <c r="A17725" t="str">
        <f>"VASN"</f>
        <v>VASN</v>
      </c>
      <c r="B17725" t="s">
        <v>5</v>
      </c>
    </row>
    <row r="17726" spans="1:2" x14ac:dyDescent="0.2">
      <c r="A17726" t="str">
        <f>"VASP"</f>
        <v>VASP</v>
      </c>
      <c r="B17726" t="s">
        <v>6</v>
      </c>
    </row>
    <row r="17727" spans="1:2" x14ac:dyDescent="0.2">
      <c r="A17727" t="str">
        <f>"VAT1"</f>
        <v>VAT1</v>
      </c>
      <c r="B17727" t="s">
        <v>2</v>
      </c>
    </row>
    <row r="17728" spans="1:2" x14ac:dyDescent="0.2">
      <c r="A17728" t="str">
        <f>"VAT1L"</f>
        <v>VAT1L</v>
      </c>
      <c r="B17728" t="s">
        <v>4</v>
      </c>
    </row>
    <row r="17729" spans="1:2" x14ac:dyDescent="0.2">
      <c r="A17729" t="str">
        <f>"VAV1"</f>
        <v>VAV1</v>
      </c>
      <c r="B17729" t="s">
        <v>3</v>
      </c>
    </row>
    <row r="17730" spans="1:2" x14ac:dyDescent="0.2">
      <c r="A17730" t="str">
        <f>"VAV2"</f>
        <v>VAV2</v>
      </c>
      <c r="B17730" t="s">
        <v>6</v>
      </c>
    </row>
    <row r="17731" spans="1:2" x14ac:dyDescent="0.2">
      <c r="A17731" t="str">
        <f>"VAV3"</f>
        <v>VAV3</v>
      </c>
      <c r="B17731" t="s">
        <v>2</v>
      </c>
    </row>
    <row r="17732" spans="1:2" x14ac:dyDescent="0.2">
      <c r="A17732" t="str">
        <f>"VAX1"</f>
        <v>VAX1</v>
      </c>
      <c r="B17732" t="s">
        <v>8</v>
      </c>
    </row>
    <row r="17733" spans="1:2" x14ac:dyDescent="0.2">
      <c r="A17733" t="str">
        <f>"VAX2"</f>
        <v>VAX2</v>
      </c>
      <c r="B17733" t="s">
        <v>8</v>
      </c>
    </row>
    <row r="17734" spans="1:2" x14ac:dyDescent="0.2">
      <c r="A17734" t="str">
        <f>"VBP1"</f>
        <v>VBP1</v>
      </c>
      <c r="B17734" t="s">
        <v>2</v>
      </c>
    </row>
    <row r="17735" spans="1:2" x14ac:dyDescent="0.2">
      <c r="A17735" t="str">
        <f>"VCAM1"</f>
        <v>VCAM1</v>
      </c>
      <c r="B17735" t="s">
        <v>3</v>
      </c>
    </row>
    <row r="17736" spans="1:2" x14ac:dyDescent="0.2">
      <c r="A17736" t="str">
        <f>"VCAN"</f>
        <v>VCAN</v>
      </c>
      <c r="B17736" t="s">
        <v>8</v>
      </c>
    </row>
    <row r="17737" spans="1:2" x14ac:dyDescent="0.2">
      <c r="A17737" t="str">
        <f>"VCL"</f>
        <v>VCL</v>
      </c>
      <c r="B17737" t="s">
        <v>6</v>
      </c>
    </row>
    <row r="17738" spans="1:2" x14ac:dyDescent="0.2">
      <c r="A17738" t="str">
        <f>"VCP"</f>
        <v>VCP</v>
      </c>
      <c r="B17738" t="s">
        <v>2</v>
      </c>
    </row>
    <row r="17739" spans="1:2" x14ac:dyDescent="0.2">
      <c r="A17739" t="str">
        <f>"VCPIP1"</f>
        <v>VCPIP1</v>
      </c>
      <c r="B17739" t="s">
        <v>2</v>
      </c>
    </row>
    <row r="17740" spans="1:2" x14ac:dyDescent="0.2">
      <c r="A17740" t="str">
        <f>"VCPKMT"</f>
        <v>VCPKMT</v>
      </c>
      <c r="B17740" t="s">
        <v>4</v>
      </c>
    </row>
    <row r="17741" spans="1:2" x14ac:dyDescent="0.2">
      <c r="A17741" t="str">
        <f>"VCX"</f>
        <v>VCX</v>
      </c>
      <c r="B17741" t="s">
        <v>2</v>
      </c>
    </row>
    <row r="17742" spans="1:2" x14ac:dyDescent="0.2">
      <c r="A17742" t="str">
        <f>"VDAC1"</f>
        <v>VDAC1</v>
      </c>
      <c r="B17742" t="s">
        <v>7</v>
      </c>
    </row>
    <row r="17743" spans="1:2" x14ac:dyDescent="0.2">
      <c r="A17743" t="str">
        <f>"VDAC2"</f>
        <v>VDAC2</v>
      </c>
      <c r="B17743" t="s">
        <v>7</v>
      </c>
    </row>
    <row r="17744" spans="1:2" x14ac:dyDescent="0.2">
      <c r="A17744" t="str">
        <f>"VDAC3"</f>
        <v>VDAC3</v>
      </c>
      <c r="B17744" t="s">
        <v>7</v>
      </c>
    </row>
    <row r="17745" spans="1:2" x14ac:dyDescent="0.2">
      <c r="A17745" t="str">
        <f>"VDR"</f>
        <v>VDR</v>
      </c>
      <c r="B17745" t="s">
        <v>3</v>
      </c>
    </row>
    <row r="17746" spans="1:2" x14ac:dyDescent="0.2">
      <c r="A17746" t="str">
        <f>"VEGFA"</f>
        <v>VEGFA</v>
      </c>
      <c r="B17746" t="s">
        <v>3</v>
      </c>
    </row>
    <row r="17747" spans="1:2" x14ac:dyDescent="0.2">
      <c r="A17747" t="str">
        <f>"VEGFB"</f>
        <v>VEGFB</v>
      </c>
      <c r="B17747" t="s">
        <v>3</v>
      </c>
    </row>
    <row r="17748" spans="1:2" x14ac:dyDescent="0.2">
      <c r="A17748" t="str">
        <f>"VEGFC"</f>
        <v>VEGFC</v>
      </c>
      <c r="B17748" t="s">
        <v>3</v>
      </c>
    </row>
    <row r="17749" spans="1:2" x14ac:dyDescent="0.2">
      <c r="A17749" t="str">
        <f>"VENTX"</f>
        <v>VENTX</v>
      </c>
      <c r="B17749" t="s">
        <v>8</v>
      </c>
    </row>
    <row r="17750" spans="1:2" x14ac:dyDescent="0.2">
      <c r="A17750" t="str">
        <f>"VEPH1"</f>
        <v>VEPH1</v>
      </c>
      <c r="B17750" t="s">
        <v>8</v>
      </c>
    </row>
    <row r="17751" spans="1:2" x14ac:dyDescent="0.2">
      <c r="A17751" t="str">
        <f>"VEZF1"</f>
        <v>VEZF1</v>
      </c>
      <c r="B17751" t="s">
        <v>8</v>
      </c>
    </row>
    <row r="17752" spans="1:2" x14ac:dyDescent="0.2">
      <c r="A17752" t="str">
        <f>"VEZT"</f>
        <v>VEZT</v>
      </c>
      <c r="B17752" t="s">
        <v>5</v>
      </c>
    </row>
    <row r="17753" spans="1:2" x14ac:dyDescent="0.2">
      <c r="A17753" t="str">
        <f>"VGF"</f>
        <v>VGF</v>
      </c>
      <c r="B17753" t="s">
        <v>6</v>
      </c>
    </row>
    <row r="17754" spans="1:2" x14ac:dyDescent="0.2">
      <c r="A17754" t="str">
        <f>"VGLL1"</f>
        <v>VGLL1</v>
      </c>
      <c r="B17754" t="s">
        <v>8</v>
      </c>
    </row>
    <row r="17755" spans="1:2" x14ac:dyDescent="0.2">
      <c r="A17755" t="str">
        <f>"VGLL2"</f>
        <v>VGLL2</v>
      </c>
      <c r="B17755" t="s">
        <v>8</v>
      </c>
    </row>
    <row r="17756" spans="1:2" x14ac:dyDescent="0.2">
      <c r="A17756" t="str">
        <f>"VGLL3"</f>
        <v>VGLL3</v>
      </c>
      <c r="B17756" t="s">
        <v>8</v>
      </c>
    </row>
    <row r="17757" spans="1:2" x14ac:dyDescent="0.2">
      <c r="A17757" t="str">
        <f>"VGLL4"</f>
        <v>VGLL4</v>
      </c>
      <c r="B17757" t="s">
        <v>8</v>
      </c>
    </row>
    <row r="17758" spans="1:2" x14ac:dyDescent="0.2">
      <c r="A17758" t="str">
        <f>"VHL"</f>
        <v>VHL</v>
      </c>
      <c r="B17758" t="s">
        <v>3</v>
      </c>
    </row>
    <row r="17759" spans="1:2" x14ac:dyDescent="0.2">
      <c r="A17759" t="str">
        <f>"VHLL"</f>
        <v>VHLL</v>
      </c>
      <c r="B17759" t="s">
        <v>4</v>
      </c>
    </row>
    <row r="17760" spans="1:2" x14ac:dyDescent="0.2">
      <c r="A17760" t="str">
        <f>"VIL1"</f>
        <v>VIL1</v>
      </c>
      <c r="B17760" t="s">
        <v>6</v>
      </c>
    </row>
    <row r="17761" spans="1:2" x14ac:dyDescent="0.2">
      <c r="A17761" t="str">
        <f>"VILL"</f>
        <v>VILL</v>
      </c>
      <c r="B17761" t="s">
        <v>6</v>
      </c>
    </row>
    <row r="17762" spans="1:2" x14ac:dyDescent="0.2">
      <c r="A17762" t="str">
        <f>"VIM"</f>
        <v>VIM</v>
      </c>
      <c r="B17762" t="s">
        <v>3</v>
      </c>
    </row>
    <row r="17763" spans="1:2" x14ac:dyDescent="0.2">
      <c r="A17763" t="str">
        <f>"VIMP"</f>
        <v>VIMP</v>
      </c>
      <c r="B17763" t="s">
        <v>2</v>
      </c>
    </row>
    <row r="17764" spans="1:2" x14ac:dyDescent="0.2">
      <c r="A17764" t="str">
        <f>"VIP"</f>
        <v>VIP</v>
      </c>
      <c r="B17764" t="s">
        <v>3</v>
      </c>
    </row>
    <row r="17765" spans="1:2" x14ac:dyDescent="0.2">
      <c r="A17765" t="str">
        <f>"VIPAS39"</f>
        <v>VIPAS39</v>
      </c>
      <c r="B17765" t="s">
        <v>3</v>
      </c>
    </row>
    <row r="17766" spans="1:2" x14ac:dyDescent="0.2">
      <c r="A17766" t="str">
        <f>"VIPR1"</f>
        <v>VIPR1</v>
      </c>
      <c r="B17766" t="s">
        <v>5</v>
      </c>
    </row>
    <row r="17767" spans="1:2" x14ac:dyDescent="0.2">
      <c r="A17767" t="str">
        <f>"VIPR2"</f>
        <v>VIPR2</v>
      </c>
      <c r="B17767" t="s">
        <v>5</v>
      </c>
    </row>
    <row r="17768" spans="1:2" x14ac:dyDescent="0.2">
      <c r="A17768" t="str">
        <f>"VIT"</f>
        <v>VIT</v>
      </c>
      <c r="B17768" t="s">
        <v>4</v>
      </c>
    </row>
    <row r="17769" spans="1:2" x14ac:dyDescent="0.2">
      <c r="A17769" t="str">
        <f>"VKORC1"</f>
        <v>VKORC1</v>
      </c>
      <c r="B17769" t="s">
        <v>7</v>
      </c>
    </row>
    <row r="17770" spans="1:2" x14ac:dyDescent="0.2">
      <c r="A17770" t="str">
        <f>"VKORC1L1"</f>
        <v>VKORC1L1</v>
      </c>
      <c r="B17770" t="s">
        <v>7</v>
      </c>
    </row>
    <row r="17771" spans="1:2" x14ac:dyDescent="0.2">
      <c r="A17771" t="str">
        <f>"VLDLR"</f>
        <v>VLDLR</v>
      </c>
      <c r="B17771" t="s">
        <v>3</v>
      </c>
    </row>
    <row r="17772" spans="1:2" x14ac:dyDescent="0.2">
      <c r="A17772" t="str">
        <f>"VMA21"</f>
        <v>VMA21</v>
      </c>
      <c r="B17772" t="s">
        <v>5</v>
      </c>
    </row>
    <row r="17773" spans="1:2" x14ac:dyDescent="0.2">
      <c r="A17773" t="str">
        <f>"VMAC"</f>
        <v>VMAC</v>
      </c>
      <c r="B17773" t="s">
        <v>4</v>
      </c>
    </row>
    <row r="17774" spans="1:2" x14ac:dyDescent="0.2">
      <c r="A17774" t="str">
        <f>"VMO1"</f>
        <v>VMO1</v>
      </c>
      <c r="B17774" t="s">
        <v>4</v>
      </c>
    </row>
    <row r="17775" spans="1:2" x14ac:dyDescent="0.2">
      <c r="A17775" t="str">
        <f>"VMP1"</f>
        <v>VMP1</v>
      </c>
      <c r="B17775" t="s">
        <v>6</v>
      </c>
    </row>
    <row r="17776" spans="1:2" x14ac:dyDescent="0.2">
      <c r="A17776" t="str">
        <f>"VN1R1"</f>
        <v>VN1R1</v>
      </c>
      <c r="B17776" t="s">
        <v>5</v>
      </c>
    </row>
    <row r="17777" spans="1:2" x14ac:dyDescent="0.2">
      <c r="A17777" t="str">
        <f>"VN1R2"</f>
        <v>VN1R2</v>
      </c>
      <c r="B17777" t="s">
        <v>5</v>
      </c>
    </row>
    <row r="17778" spans="1:2" x14ac:dyDescent="0.2">
      <c r="A17778" t="str">
        <f>"VN1R4"</f>
        <v>VN1R4</v>
      </c>
      <c r="B17778" t="s">
        <v>5</v>
      </c>
    </row>
    <row r="17779" spans="1:2" x14ac:dyDescent="0.2">
      <c r="A17779" t="str">
        <f>"VNN1"</f>
        <v>VNN1</v>
      </c>
      <c r="B17779" t="s">
        <v>3</v>
      </c>
    </row>
    <row r="17780" spans="1:2" x14ac:dyDescent="0.2">
      <c r="A17780" t="str">
        <f>"VNN2"</f>
        <v>VNN2</v>
      </c>
      <c r="B17780" t="s">
        <v>5</v>
      </c>
    </row>
    <row r="17781" spans="1:2" x14ac:dyDescent="0.2">
      <c r="A17781" t="str">
        <f>"VOPP1"</f>
        <v>VOPP1</v>
      </c>
      <c r="B17781" t="s">
        <v>6</v>
      </c>
    </row>
    <row r="17782" spans="1:2" x14ac:dyDescent="0.2">
      <c r="A17782" t="str">
        <f>"VPRBP"</f>
        <v>VPRBP</v>
      </c>
      <c r="B17782" t="s">
        <v>2</v>
      </c>
    </row>
    <row r="17783" spans="1:2" x14ac:dyDescent="0.2">
      <c r="A17783" t="str">
        <f>"VPREB1"</f>
        <v>VPREB1</v>
      </c>
      <c r="B17783" t="s">
        <v>4</v>
      </c>
    </row>
    <row r="17784" spans="1:2" x14ac:dyDescent="0.2">
      <c r="A17784" t="str">
        <f>"VPREB3"</f>
        <v>VPREB3</v>
      </c>
      <c r="B17784" t="s">
        <v>2</v>
      </c>
    </row>
    <row r="17785" spans="1:2" x14ac:dyDescent="0.2">
      <c r="A17785" t="str">
        <f>"VPS11"</f>
        <v>VPS11</v>
      </c>
      <c r="B17785" t="s">
        <v>2</v>
      </c>
    </row>
    <row r="17786" spans="1:2" x14ac:dyDescent="0.2">
      <c r="A17786" t="str">
        <f>"VPS13A"</f>
        <v>VPS13A</v>
      </c>
      <c r="B17786" t="s">
        <v>2</v>
      </c>
    </row>
    <row r="17787" spans="1:2" x14ac:dyDescent="0.2">
      <c r="A17787" t="str">
        <f>"VPS13B"</f>
        <v>VPS13B</v>
      </c>
      <c r="B17787" t="s">
        <v>3</v>
      </c>
    </row>
    <row r="17788" spans="1:2" x14ac:dyDescent="0.2">
      <c r="A17788" t="str">
        <f>"VPS13C"</f>
        <v>VPS13C</v>
      </c>
      <c r="B17788" t="s">
        <v>2</v>
      </c>
    </row>
    <row r="17789" spans="1:2" x14ac:dyDescent="0.2">
      <c r="A17789" t="str">
        <f>"VPS13D"</f>
        <v>VPS13D</v>
      </c>
      <c r="B17789" t="s">
        <v>2</v>
      </c>
    </row>
    <row r="17790" spans="1:2" x14ac:dyDescent="0.2">
      <c r="A17790" t="str">
        <f>"VPS16"</f>
        <v>VPS16</v>
      </c>
      <c r="B17790" t="s">
        <v>2</v>
      </c>
    </row>
    <row r="17791" spans="1:2" x14ac:dyDescent="0.2">
      <c r="A17791" t="str">
        <f>"VPS18"</f>
        <v>VPS18</v>
      </c>
      <c r="B17791" t="s">
        <v>2</v>
      </c>
    </row>
    <row r="17792" spans="1:2" x14ac:dyDescent="0.2">
      <c r="A17792" t="str">
        <f>"VPS25"</f>
        <v>VPS25</v>
      </c>
      <c r="B17792" t="s">
        <v>2</v>
      </c>
    </row>
    <row r="17793" spans="1:2" x14ac:dyDescent="0.2">
      <c r="A17793" t="str">
        <f>"VPS26A"</f>
        <v>VPS26A</v>
      </c>
      <c r="B17793" t="s">
        <v>2</v>
      </c>
    </row>
    <row r="17794" spans="1:2" x14ac:dyDescent="0.2">
      <c r="A17794" t="str">
        <f>"VPS26B"</f>
        <v>VPS26B</v>
      </c>
      <c r="B17794" t="s">
        <v>2</v>
      </c>
    </row>
    <row r="17795" spans="1:2" x14ac:dyDescent="0.2">
      <c r="A17795" t="str">
        <f>"VPS28"</f>
        <v>VPS28</v>
      </c>
      <c r="B17795" t="s">
        <v>6</v>
      </c>
    </row>
    <row r="17796" spans="1:2" x14ac:dyDescent="0.2">
      <c r="A17796" t="str">
        <f>"VPS29"</f>
        <v>VPS29</v>
      </c>
      <c r="B17796" t="s">
        <v>2</v>
      </c>
    </row>
    <row r="17797" spans="1:2" x14ac:dyDescent="0.2">
      <c r="A17797" t="str">
        <f>"VPS33A"</f>
        <v>VPS33A</v>
      </c>
      <c r="B17797" t="s">
        <v>2</v>
      </c>
    </row>
    <row r="17798" spans="1:2" x14ac:dyDescent="0.2">
      <c r="A17798" t="str">
        <f>"VPS33B"</f>
        <v>VPS33B</v>
      </c>
      <c r="B17798" t="s">
        <v>2</v>
      </c>
    </row>
    <row r="17799" spans="1:2" x14ac:dyDescent="0.2">
      <c r="A17799" t="str">
        <f>"VPS35"</f>
        <v>VPS35</v>
      </c>
      <c r="B17799" t="s">
        <v>2</v>
      </c>
    </row>
    <row r="17800" spans="1:2" x14ac:dyDescent="0.2">
      <c r="A17800" t="str">
        <f>"VPS36"</f>
        <v>VPS36</v>
      </c>
      <c r="B17800" t="s">
        <v>2</v>
      </c>
    </row>
    <row r="17801" spans="1:2" x14ac:dyDescent="0.2">
      <c r="A17801" t="str">
        <f>"VPS37A"</f>
        <v>VPS37A</v>
      </c>
      <c r="B17801" t="s">
        <v>2</v>
      </c>
    </row>
    <row r="17802" spans="1:2" x14ac:dyDescent="0.2">
      <c r="A17802" t="str">
        <f>"VPS37B"</f>
        <v>VPS37B</v>
      </c>
      <c r="B17802" t="s">
        <v>6</v>
      </c>
    </row>
    <row r="17803" spans="1:2" x14ac:dyDescent="0.2">
      <c r="A17803" t="str">
        <f>"VPS37C"</f>
        <v>VPS37C</v>
      </c>
      <c r="B17803" t="s">
        <v>4</v>
      </c>
    </row>
    <row r="17804" spans="1:2" x14ac:dyDescent="0.2">
      <c r="A17804" t="str">
        <f>"VPS37D"</f>
        <v>VPS37D</v>
      </c>
      <c r="B17804" t="s">
        <v>4</v>
      </c>
    </row>
    <row r="17805" spans="1:2" x14ac:dyDescent="0.2">
      <c r="A17805" t="str">
        <f>"VPS39"</f>
        <v>VPS39</v>
      </c>
      <c r="B17805" t="s">
        <v>2</v>
      </c>
    </row>
    <row r="17806" spans="1:2" x14ac:dyDescent="0.2">
      <c r="A17806" t="str">
        <f>"VPS41"</f>
        <v>VPS41</v>
      </c>
      <c r="B17806" t="s">
        <v>2</v>
      </c>
    </row>
    <row r="17807" spans="1:2" x14ac:dyDescent="0.2">
      <c r="A17807" t="str">
        <f>"VPS45"</f>
        <v>VPS45</v>
      </c>
      <c r="B17807" t="s">
        <v>2</v>
      </c>
    </row>
    <row r="17808" spans="1:2" x14ac:dyDescent="0.2">
      <c r="A17808" t="str">
        <f>"VPS4A"</f>
        <v>VPS4A</v>
      </c>
      <c r="B17808" t="s">
        <v>2</v>
      </c>
    </row>
    <row r="17809" spans="1:2" x14ac:dyDescent="0.2">
      <c r="A17809" t="str">
        <f>"VPS4B"</f>
        <v>VPS4B</v>
      </c>
      <c r="B17809" t="s">
        <v>2</v>
      </c>
    </row>
    <row r="17810" spans="1:2" x14ac:dyDescent="0.2">
      <c r="A17810" t="str">
        <f>"VPS51"</f>
        <v>VPS51</v>
      </c>
      <c r="B17810" t="s">
        <v>6</v>
      </c>
    </row>
    <row r="17811" spans="1:2" x14ac:dyDescent="0.2">
      <c r="A17811" t="str">
        <f>"VPS52"</f>
        <v>VPS52</v>
      </c>
      <c r="B17811" t="s">
        <v>6</v>
      </c>
    </row>
    <row r="17812" spans="1:2" x14ac:dyDescent="0.2">
      <c r="A17812" t="str">
        <f>"VPS53"</f>
        <v>VPS53</v>
      </c>
      <c r="B17812" t="s">
        <v>2</v>
      </c>
    </row>
    <row r="17813" spans="1:2" x14ac:dyDescent="0.2">
      <c r="A17813" t="str">
        <f>"VPS54"</f>
        <v>VPS54</v>
      </c>
      <c r="B17813" t="s">
        <v>2</v>
      </c>
    </row>
    <row r="17814" spans="1:2" x14ac:dyDescent="0.2">
      <c r="A17814" t="str">
        <f>"VPS72"</f>
        <v>VPS72</v>
      </c>
      <c r="B17814" t="s">
        <v>8</v>
      </c>
    </row>
    <row r="17815" spans="1:2" x14ac:dyDescent="0.2">
      <c r="A17815" t="str">
        <f>"VPS8"</f>
        <v>VPS8</v>
      </c>
      <c r="B17815" t="s">
        <v>2</v>
      </c>
    </row>
    <row r="17816" spans="1:2" x14ac:dyDescent="0.2">
      <c r="A17816" t="str">
        <f>"VPS9D1"</f>
        <v>VPS9D1</v>
      </c>
      <c r="B17816" t="s">
        <v>4</v>
      </c>
    </row>
    <row r="17817" spans="1:2" x14ac:dyDescent="0.2">
      <c r="A17817" t="str">
        <f>"VRK1"</f>
        <v>VRK1</v>
      </c>
      <c r="B17817" t="s">
        <v>7</v>
      </c>
    </row>
    <row r="17818" spans="1:2" x14ac:dyDescent="0.2">
      <c r="A17818" t="str">
        <f>"VRK2"</f>
        <v>VRK2</v>
      </c>
      <c r="B17818" t="s">
        <v>7</v>
      </c>
    </row>
    <row r="17819" spans="1:2" x14ac:dyDescent="0.2">
      <c r="A17819" t="str">
        <f>"VRK3"</f>
        <v>VRK3</v>
      </c>
      <c r="B17819" t="s">
        <v>7</v>
      </c>
    </row>
    <row r="17820" spans="1:2" x14ac:dyDescent="0.2">
      <c r="A17820" t="str">
        <f>"VRTN"</f>
        <v>VRTN</v>
      </c>
      <c r="B17820" t="s">
        <v>8</v>
      </c>
    </row>
    <row r="17821" spans="1:2" x14ac:dyDescent="0.2">
      <c r="A17821" t="str">
        <f>"VSIG1"</f>
        <v>VSIG1</v>
      </c>
      <c r="B17821" t="s">
        <v>5</v>
      </c>
    </row>
    <row r="17822" spans="1:2" x14ac:dyDescent="0.2">
      <c r="A17822" t="str">
        <f>"VSIG10"</f>
        <v>VSIG10</v>
      </c>
      <c r="B17822" t="s">
        <v>5</v>
      </c>
    </row>
    <row r="17823" spans="1:2" x14ac:dyDescent="0.2">
      <c r="A17823" t="str">
        <f>"VSIG10L"</f>
        <v>VSIG10L</v>
      </c>
      <c r="B17823" t="s">
        <v>4</v>
      </c>
    </row>
    <row r="17824" spans="1:2" x14ac:dyDescent="0.2">
      <c r="A17824" t="str">
        <f>"VSIG2"</f>
        <v>VSIG2</v>
      </c>
      <c r="B17824" t="s">
        <v>5</v>
      </c>
    </row>
    <row r="17825" spans="1:2" x14ac:dyDescent="0.2">
      <c r="A17825" t="str">
        <f>"VSIG4"</f>
        <v>VSIG4</v>
      </c>
      <c r="B17825" t="s">
        <v>5</v>
      </c>
    </row>
    <row r="17826" spans="1:2" x14ac:dyDescent="0.2">
      <c r="A17826" t="str">
        <f>"VSIG8"</f>
        <v>VSIG8</v>
      </c>
      <c r="B17826" t="s">
        <v>5</v>
      </c>
    </row>
    <row r="17827" spans="1:2" x14ac:dyDescent="0.2">
      <c r="A17827" t="str">
        <f>"VSNL1"</f>
        <v>VSNL1</v>
      </c>
      <c r="B17827" t="s">
        <v>3</v>
      </c>
    </row>
    <row r="17828" spans="1:2" x14ac:dyDescent="0.2">
      <c r="A17828" t="str">
        <f>"VSTM1"</f>
        <v>VSTM1</v>
      </c>
      <c r="B17828" t="s">
        <v>5</v>
      </c>
    </row>
    <row r="17829" spans="1:2" x14ac:dyDescent="0.2">
      <c r="A17829" t="str">
        <f>"VSTM2A"</f>
        <v>VSTM2A</v>
      </c>
      <c r="B17829" t="s">
        <v>5</v>
      </c>
    </row>
    <row r="17830" spans="1:2" x14ac:dyDescent="0.2">
      <c r="A17830" t="str">
        <f>"VSTM2B"</f>
        <v>VSTM2B</v>
      </c>
      <c r="B17830" t="s">
        <v>4</v>
      </c>
    </row>
    <row r="17831" spans="1:2" x14ac:dyDescent="0.2">
      <c r="A17831" t="str">
        <f>"VSTM2L"</f>
        <v>VSTM2L</v>
      </c>
      <c r="B17831" t="s">
        <v>5</v>
      </c>
    </row>
    <row r="17832" spans="1:2" x14ac:dyDescent="0.2">
      <c r="A17832" t="str">
        <f>"VSTM4"</f>
        <v>VSTM4</v>
      </c>
      <c r="B17832" t="s">
        <v>5</v>
      </c>
    </row>
    <row r="17833" spans="1:2" x14ac:dyDescent="0.2">
      <c r="A17833" t="str">
        <f>"VSTM5"</f>
        <v>VSTM5</v>
      </c>
      <c r="B17833" t="s">
        <v>4</v>
      </c>
    </row>
    <row r="17834" spans="1:2" x14ac:dyDescent="0.2">
      <c r="A17834" t="str">
        <f>"VSX1"</f>
        <v>VSX1</v>
      </c>
      <c r="B17834" t="s">
        <v>8</v>
      </c>
    </row>
    <row r="17835" spans="1:2" x14ac:dyDescent="0.2">
      <c r="A17835" t="str">
        <f>"VSX2"</f>
        <v>VSX2</v>
      </c>
      <c r="B17835" t="s">
        <v>2</v>
      </c>
    </row>
    <row r="17836" spans="1:2" x14ac:dyDescent="0.2">
      <c r="A17836" t="str">
        <f>"VTA1"</f>
        <v>VTA1</v>
      </c>
      <c r="B17836" t="s">
        <v>4</v>
      </c>
    </row>
    <row r="17837" spans="1:2" x14ac:dyDescent="0.2">
      <c r="A17837" t="str">
        <f>"VTCN1"</f>
        <v>VTCN1</v>
      </c>
      <c r="B17837" t="s">
        <v>5</v>
      </c>
    </row>
    <row r="17838" spans="1:2" x14ac:dyDescent="0.2">
      <c r="A17838" t="str">
        <f>"VTI1A"</f>
        <v>VTI1A</v>
      </c>
      <c r="B17838" t="s">
        <v>2</v>
      </c>
    </row>
    <row r="17839" spans="1:2" x14ac:dyDescent="0.2">
      <c r="A17839" t="str">
        <f>"VTI1B"</f>
        <v>VTI1B</v>
      </c>
      <c r="B17839" t="s">
        <v>2</v>
      </c>
    </row>
    <row r="17840" spans="1:2" x14ac:dyDescent="0.2">
      <c r="A17840" t="str">
        <f>"VTN"</f>
        <v>VTN</v>
      </c>
      <c r="B17840" t="s">
        <v>7</v>
      </c>
    </row>
    <row r="17841" spans="1:2" x14ac:dyDescent="0.2">
      <c r="A17841" t="str">
        <f>"VWA1"</f>
        <v>VWA1</v>
      </c>
      <c r="B17841" t="s">
        <v>4</v>
      </c>
    </row>
    <row r="17842" spans="1:2" x14ac:dyDescent="0.2">
      <c r="A17842" t="str">
        <f>"VWA2"</f>
        <v>VWA2</v>
      </c>
      <c r="B17842" t="s">
        <v>4</v>
      </c>
    </row>
    <row r="17843" spans="1:2" x14ac:dyDescent="0.2">
      <c r="A17843" t="str">
        <f>"VWA3A"</f>
        <v>VWA3A</v>
      </c>
      <c r="B17843" t="s">
        <v>4</v>
      </c>
    </row>
    <row r="17844" spans="1:2" x14ac:dyDescent="0.2">
      <c r="A17844" t="str">
        <f>"VWA3B"</f>
        <v>VWA3B</v>
      </c>
      <c r="B17844" t="s">
        <v>4</v>
      </c>
    </row>
    <row r="17845" spans="1:2" x14ac:dyDescent="0.2">
      <c r="A17845" t="str">
        <f>"VWA5A"</f>
        <v>VWA5A</v>
      </c>
      <c r="B17845" t="s">
        <v>3</v>
      </c>
    </row>
    <row r="17846" spans="1:2" x14ac:dyDescent="0.2">
      <c r="A17846" t="str">
        <f>"VWA5B1"</f>
        <v>VWA5B1</v>
      </c>
      <c r="B17846" t="s">
        <v>4</v>
      </c>
    </row>
    <row r="17847" spans="1:2" x14ac:dyDescent="0.2">
      <c r="A17847" t="str">
        <f>"VWA5B2"</f>
        <v>VWA5B2</v>
      </c>
      <c r="B17847" t="s">
        <v>4</v>
      </c>
    </row>
    <row r="17848" spans="1:2" x14ac:dyDescent="0.2">
      <c r="A17848" t="str">
        <f>"VWA7"</f>
        <v>VWA7</v>
      </c>
      <c r="B17848" t="s">
        <v>4</v>
      </c>
    </row>
    <row r="17849" spans="1:2" x14ac:dyDescent="0.2">
      <c r="A17849" t="str">
        <f>"VWA8"</f>
        <v>VWA8</v>
      </c>
      <c r="B17849" t="s">
        <v>6</v>
      </c>
    </row>
    <row r="17850" spans="1:2" x14ac:dyDescent="0.2">
      <c r="A17850" t="str">
        <f>"VWA9"</f>
        <v>VWA9</v>
      </c>
      <c r="B17850" t="s">
        <v>4</v>
      </c>
    </row>
    <row r="17851" spans="1:2" x14ac:dyDescent="0.2">
      <c r="A17851" t="str">
        <f>"VWC2"</f>
        <v>VWC2</v>
      </c>
      <c r="B17851" t="s">
        <v>4</v>
      </c>
    </row>
    <row r="17852" spans="1:2" x14ac:dyDescent="0.2">
      <c r="A17852" t="str">
        <f>"VWC2L"</f>
        <v>VWC2L</v>
      </c>
      <c r="B17852" t="s">
        <v>4</v>
      </c>
    </row>
    <row r="17853" spans="1:2" x14ac:dyDescent="0.2">
      <c r="A17853" t="str">
        <f>"VWCE"</f>
        <v>VWCE</v>
      </c>
      <c r="B17853" t="s">
        <v>4</v>
      </c>
    </row>
    <row r="17854" spans="1:2" x14ac:dyDescent="0.2">
      <c r="A17854" t="str">
        <f>"VWDE"</f>
        <v>VWDE</v>
      </c>
      <c r="B17854" t="s">
        <v>4</v>
      </c>
    </row>
    <row r="17855" spans="1:2" x14ac:dyDescent="0.2">
      <c r="A17855" t="str">
        <f>"VWF"</f>
        <v>VWF</v>
      </c>
      <c r="B17855" t="s">
        <v>7</v>
      </c>
    </row>
    <row r="17856" spans="1:2" x14ac:dyDescent="0.2">
      <c r="A17856" t="str">
        <f>"WAC"</f>
        <v>WAC</v>
      </c>
      <c r="B17856" t="s">
        <v>5</v>
      </c>
    </row>
    <row r="17857" spans="1:2" x14ac:dyDescent="0.2">
      <c r="A17857" t="str">
        <f>"WAPAL"</f>
        <v>WAPAL</v>
      </c>
      <c r="B17857" t="s">
        <v>4</v>
      </c>
    </row>
    <row r="17858" spans="1:2" x14ac:dyDescent="0.2">
      <c r="A17858" t="str">
        <f>"WARS"</f>
        <v>WARS</v>
      </c>
      <c r="B17858" t="s">
        <v>7</v>
      </c>
    </row>
    <row r="17859" spans="1:2" x14ac:dyDescent="0.2">
      <c r="A17859" t="str">
        <f>"WARS2"</f>
        <v>WARS2</v>
      </c>
      <c r="B17859" t="s">
        <v>7</v>
      </c>
    </row>
    <row r="17860" spans="1:2" x14ac:dyDescent="0.2">
      <c r="A17860" t="str">
        <f>"WAS"</f>
        <v>WAS</v>
      </c>
      <c r="B17860" t="s">
        <v>3</v>
      </c>
    </row>
    <row r="17861" spans="1:2" x14ac:dyDescent="0.2">
      <c r="A17861" t="str">
        <f>"WASF1"</f>
        <v>WASF1</v>
      </c>
      <c r="B17861" t="s">
        <v>6</v>
      </c>
    </row>
    <row r="17862" spans="1:2" x14ac:dyDescent="0.2">
      <c r="A17862" t="str">
        <f>"WASF2"</f>
        <v>WASF2</v>
      </c>
      <c r="B17862" t="s">
        <v>6</v>
      </c>
    </row>
    <row r="17863" spans="1:2" x14ac:dyDescent="0.2">
      <c r="A17863" t="str">
        <f>"WASF3"</f>
        <v>WASF3</v>
      </c>
      <c r="B17863" t="s">
        <v>3</v>
      </c>
    </row>
    <row r="17864" spans="1:2" x14ac:dyDescent="0.2">
      <c r="A17864" t="str">
        <f>"WASL"</f>
        <v>WASL</v>
      </c>
      <c r="B17864" t="s">
        <v>8</v>
      </c>
    </row>
    <row r="17865" spans="1:2" x14ac:dyDescent="0.2">
      <c r="A17865" t="str">
        <f>"WBP1"</f>
        <v>WBP1</v>
      </c>
      <c r="B17865" t="s">
        <v>5</v>
      </c>
    </row>
    <row r="17866" spans="1:2" x14ac:dyDescent="0.2">
      <c r="A17866" t="str">
        <f>"WBP11"</f>
        <v>WBP11</v>
      </c>
      <c r="B17866" t="s">
        <v>2</v>
      </c>
    </row>
    <row r="17867" spans="1:2" x14ac:dyDescent="0.2">
      <c r="A17867" t="str">
        <f>"WBP1L"</f>
        <v>WBP1L</v>
      </c>
      <c r="B17867" t="s">
        <v>5</v>
      </c>
    </row>
    <row r="17868" spans="1:2" x14ac:dyDescent="0.2">
      <c r="A17868" t="str">
        <f>"WBP2"</f>
        <v>WBP2</v>
      </c>
      <c r="B17868" t="s">
        <v>4</v>
      </c>
    </row>
    <row r="17869" spans="1:2" x14ac:dyDescent="0.2">
      <c r="A17869" t="str">
        <f>"WBP2NL"</f>
        <v>WBP2NL</v>
      </c>
      <c r="B17869" t="s">
        <v>4</v>
      </c>
    </row>
    <row r="17870" spans="1:2" x14ac:dyDescent="0.2">
      <c r="A17870" t="str">
        <f>"WBP4"</f>
        <v>WBP4</v>
      </c>
      <c r="B17870" t="s">
        <v>8</v>
      </c>
    </row>
    <row r="17871" spans="1:2" x14ac:dyDescent="0.2">
      <c r="A17871" t="str">
        <f>"WBP5"</f>
        <v>WBP5</v>
      </c>
      <c r="B17871" t="s">
        <v>4</v>
      </c>
    </row>
    <row r="17872" spans="1:2" x14ac:dyDescent="0.2">
      <c r="A17872" t="str">
        <f>"WBSCR16"</f>
        <v>WBSCR16</v>
      </c>
      <c r="B17872" t="s">
        <v>6</v>
      </c>
    </row>
    <row r="17873" spans="1:2" x14ac:dyDescent="0.2">
      <c r="A17873" t="str">
        <f>"WBSCR17"</f>
        <v>WBSCR17</v>
      </c>
      <c r="B17873" t="s">
        <v>3</v>
      </c>
    </row>
    <row r="17874" spans="1:2" x14ac:dyDescent="0.2">
      <c r="A17874" t="str">
        <f>"WBSCR22"</f>
        <v>WBSCR22</v>
      </c>
      <c r="B17874" t="s">
        <v>3</v>
      </c>
    </row>
    <row r="17875" spans="1:2" x14ac:dyDescent="0.2">
      <c r="A17875" t="str">
        <f>"WBSCR27"</f>
        <v>WBSCR27</v>
      </c>
      <c r="B17875" t="s">
        <v>4</v>
      </c>
    </row>
    <row r="17876" spans="1:2" x14ac:dyDescent="0.2">
      <c r="A17876" t="str">
        <f>"WBSCR28"</f>
        <v>WBSCR28</v>
      </c>
      <c r="B17876" t="s">
        <v>5</v>
      </c>
    </row>
    <row r="17877" spans="1:2" x14ac:dyDescent="0.2">
      <c r="A17877" t="str">
        <f>"WDFY1"</f>
        <v>WDFY1</v>
      </c>
      <c r="B17877" t="s">
        <v>6</v>
      </c>
    </row>
    <row r="17878" spans="1:2" x14ac:dyDescent="0.2">
      <c r="A17878" t="str">
        <f>"WDFY2"</f>
        <v>WDFY2</v>
      </c>
      <c r="B17878" t="s">
        <v>2</v>
      </c>
    </row>
    <row r="17879" spans="1:2" x14ac:dyDescent="0.2">
      <c r="A17879" t="str">
        <f>"WDFY3"</f>
        <v>WDFY3</v>
      </c>
      <c r="B17879" t="s">
        <v>2</v>
      </c>
    </row>
    <row r="17880" spans="1:2" x14ac:dyDescent="0.2">
      <c r="A17880" t="str">
        <f>"WDFY4"</f>
        <v>WDFY4</v>
      </c>
      <c r="B17880" t="s">
        <v>4</v>
      </c>
    </row>
    <row r="17881" spans="1:2" x14ac:dyDescent="0.2">
      <c r="A17881" t="str">
        <f>"WDHD1"</f>
        <v>WDHD1</v>
      </c>
      <c r="B17881" t="s">
        <v>6</v>
      </c>
    </row>
    <row r="17882" spans="1:2" x14ac:dyDescent="0.2">
      <c r="A17882" t="str">
        <f>"WDPCP"</f>
        <v>WDPCP</v>
      </c>
      <c r="B17882" t="s">
        <v>2</v>
      </c>
    </row>
    <row r="17883" spans="1:2" x14ac:dyDescent="0.2">
      <c r="A17883" t="str">
        <f>"WDR1"</f>
        <v>WDR1</v>
      </c>
      <c r="B17883" t="s">
        <v>6</v>
      </c>
    </row>
    <row r="17884" spans="1:2" x14ac:dyDescent="0.2">
      <c r="A17884" t="str">
        <f>"WDR11"</f>
        <v>WDR11</v>
      </c>
      <c r="B17884" t="s">
        <v>2</v>
      </c>
    </row>
    <row r="17885" spans="1:2" x14ac:dyDescent="0.2">
      <c r="A17885" t="str">
        <f>"WDR12"</f>
        <v>WDR12</v>
      </c>
      <c r="B17885" t="s">
        <v>8</v>
      </c>
    </row>
    <row r="17886" spans="1:2" x14ac:dyDescent="0.2">
      <c r="A17886" t="str">
        <f>"WDR13"</f>
        <v>WDR13</v>
      </c>
      <c r="B17886" t="s">
        <v>4</v>
      </c>
    </row>
    <row r="17887" spans="1:2" x14ac:dyDescent="0.2">
      <c r="A17887" t="str">
        <f>"WDR16"</f>
        <v>WDR16</v>
      </c>
      <c r="B17887" t="s">
        <v>2</v>
      </c>
    </row>
    <row r="17888" spans="1:2" x14ac:dyDescent="0.2">
      <c r="A17888" t="str">
        <f>"WDR17"</f>
        <v>WDR17</v>
      </c>
      <c r="B17888" t="s">
        <v>4</v>
      </c>
    </row>
    <row r="17889" spans="1:2" x14ac:dyDescent="0.2">
      <c r="A17889" t="str">
        <f>"WDR18"</f>
        <v>WDR18</v>
      </c>
      <c r="B17889" t="s">
        <v>2</v>
      </c>
    </row>
    <row r="17890" spans="1:2" x14ac:dyDescent="0.2">
      <c r="A17890" t="str">
        <f>"WDR19"</f>
        <v>WDR19</v>
      </c>
      <c r="B17890" t="s">
        <v>6</v>
      </c>
    </row>
    <row r="17891" spans="1:2" x14ac:dyDescent="0.2">
      <c r="A17891" t="str">
        <f>"WDR20"</f>
        <v>WDR20</v>
      </c>
      <c r="B17891" t="s">
        <v>6</v>
      </c>
    </row>
    <row r="17892" spans="1:2" x14ac:dyDescent="0.2">
      <c r="A17892" t="str">
        <f>"WDR24"</f>
        <v>WDR24</v>
      </c>
      <c r="B17892" t="s">
        <v>2</v>
      </c>
    </row>
    <row r="17893" spans="1:2" x14ac:dyDescent="0.2">
      <c r="A17893" t="str">
        <f>"WDR25"</f>
        <v>WDR25</v>
      </c>
      <c r="B17893" t="s">
        <v>2</v>
      </c>
    </row>
    <row r="17894" spans="1:2" x14ac:dyDescent="0.2">
      <c r="A17894" t="str">
        <f>"WDR26"</f>
        <v>WDR26</v>
      </c>
      <c r="B17894" t="s">
        <v>5</v>
      </c>
    </row>
    <row r="17895" spans="1:2" x14ac:dyDescent="0.2">
      <c r="A17895" t="str">
        <f>"WDR27"</f>
        <v>WDR27</v>
      </c>
      <c r="B17895" t="s">
        <v>4</v>
      </c>
    </row>
    <row r="17896" spans="1:2" x14ac:dyDescent="0.2">
      <c r="A17896" t="str">
        <f>"WDR3"</f>
        <v>WDR3</v>
      </c>
      <c r="B17896" t="s">
        <v>2</v>
      </c>
    </row>
    <row r="17897" spans="1:2" x14ac:dyDescent="0.2">
      <c r="A17897" t="str">
        <f>"WDR31"</f>
        <v>WDR31</v>
      </c>
      <c r="B17897" t="s">
        <v>2</v>
      </c>
    </row>
    <row r="17898" spans="1:2" x14ac:dyDescent="0.2">
      <c r="A17898" t="str">
        <f>"WDR33"</f>
        <v>WDR33</v>
      </c>
      <c r="B17898" t="s">
        <v>3</v>
      </c>
    </row>
    <row r="17899" spans="1:2" x14ac:dyDescent="0.2">
      <c r="A17899" t="str">
        <f>"WDR34"</f>
        <v>WDR34</v>
      </c>
      <c r="B17899" t="s">
        <v>4</v>
      </c>
    </row>
    <row r="17900" spans="1:2" x14ac:dyDescent="0.2">
      <c r="A17900" t="str">
        <f>"WDR35"</f>
        <v>WDR35</v>
      </c>
      <c r="B17900" t="s">
        <v>4</v>
      </c>
    </row>
    <row r="17901" spans="1:2" x14ac:dyDescent="0.2">
      <c r="A17901" t="str">
        <f>"WDR36"</f>
        <v>WDR36</v>
      </c>
      <c r="B17901" t="s">
        <v>8</v>
      </c>
    </row>
    <row r="17902" spans="1:2" x14ac:dyDescent="0.2">
      <c r="A17902" t="str">
        <f>"WDR37"</f>
        <v>WDR37</v>
      </c>
      <c r="B17902" t="s">
        <v>3</v>
      </c>
    </row>
    <row r="17903" spans="1:2" x14ac:dyDescent="0.2">
      <c r="A17903" t="str">
        <f>"WDR38"</f>
        <v>WDR38</v>
      </c>
      <c r="B17903" t="s">
        <v>4</v>
      </c>
    </row>
    <row r="17904" spans="1:2" x14ac:dyDescent="0.2">
      <c r="A17904" t="str">
        <f>"WDR4"</f>
        <v>WDR4</v>
      </c>
      <c r="B17904" t="s">
        <v>4</v>
      </c>
    </row>
    <row r="17905" spans="1:2" x14ac:dyDescent="0.2">
      <c r="A17905" t="str">
        <f>"WDR41"</f>
        <v>WDR41</v>
      </c>
      <c r="B17905" t="s">
        <v>4</v>
      </c>
    </row>
    <row r="17906" spans="1:2" x14ac:dyDescent="0.2">
      <c r="A17906" t="str">
        <f>"WDR43"</f>
        <v>WDR43</v>
      </c>
      <c r="B17906" t="s">
        <v>4</v>
      </c>
    </row>
    <row r="17907" spans="1:2" x14ac:dyDescent="0.2">
      <c r="A17907" t="str">
        <f>"WDR44"</f>
        <v>WDR44</v>
      </c>
      <c r="B17907" t="s">
        <v>6</v>
      </c>
    </row>
    <row r="17908" spans="1:2" x14ac:dyDescent="0.2">
      <c r="A17908" t="str">
        <f>"WDR45"</f>
        <v>WDR45</v>
      </c>
      <c r="B17908" t="s">
        <v>2</v>
      </c>
    </row>
    <row r="17909" spans="1:2" x14ac:dyDescent="0.2">
      <c r="A17909" t="str">
        <f>"WDR45B"</f>
        <v>WDR45B</v>
      </c>
      <c r="B17909" t="s">
        <v>4</v>
      </c>
    </row>
    <row r="17910" spans="1:2" x14ac:dyDescent="0.2">
      <c r="A17910" t="str">
        <f>"WDR46"</f>
        <v>WDR46</v>
      </c>
      <c r="B17910" t="s">
        <v>8</v>
      </c>
    </row>
    <row r="17911" spans="1:2" x14ac:dyDescent="0.2">
      <c r="A17911" t="str">
        <f>"WDR47"</f>
        <v>WDR47</v>
      </c>
      <c r="B17911" t="s">
        <v>4</v>
      </c>
    </row>
    <row r="17912" spans="1:2" x14ac:dyDescent="0.2">
      <c r="A17912" t="str">
        <f>"WDR48"</f>
        <v>WDR48</v>
      </c>
      <c r="B17912" t="s">
        <v>2</v>
      </c>
    </row>
    <row r="17913" spans="1:2" x14ac:dyDescent="0.2">
      <c r="A17913" t="str">
        <f>"WDR49"</f>
        <v>WDR49</v>
      </c>
      <c r="B17913" t="s">
        <v>2</v>
      </c>
    </row>
    <row r="17914" spans="1:2" x14ac:dyDescent="0.2">
      <c r="A17914" t="str">
        <f>"WDR5"</f>
        <v>WDR5</v>
      </c>
      <c r="B17914" t="s">
        <v>4</v>
      </c>
    </row>
    <row r="17915" spans="1:2" x14ac:dyDescent="0.2">
      <c r="A17915" t="str">
        <f>"WDR52"</f>
        <v>WDR52</v>
      </c>
      <c r="B17915" t="s">
        <v>4</v>
      </c>
    </row>
    <row r="17916" spans="1:2" x14ac:dyDescent="0.2">
      <c r="A17916" t="str">
        <f>"WDR53"</f>
        <v>WDR53</v>
      </c>
      <c r="B17916" t="s">
        <v>4</v>
      </c>
    </row>
    <row r="17917" spans="1:2" x14ac:dyDescent="0.2">
      <c r="A17917" t="str">
        <f>"WDR54"</f>
        <v>WDR54</v>
      </c>
      <c r="B17917" t="s">
        <v>4</v>
      </c>
    </row>
    <row r="17918" spans="1:2" x14ac:dyDescent="0.2">
      <c r="A17918" t="str">
        <f>"WDR55"</f>
        <v>WDR55</v>
      </c>
      <c r="B17918" t="s">
        <v>4</v>
      </c>
    </row>
    <row r="17919" spans="1:2" x14ac:dyDescent="0.2">
      <c r="A17919" t="str">
        <f>"WDR59"</f>
        <v>WDR59</v>
      </c>
      <c r="B17919" t="s">
        <v>2</v>
      </c>
    </row>
    <row r="17920" spans="1:2" x14ac:dyDescent="0.2">
      <c r="A17920" t="str">
        <f>"WDR5B"</f>
        <v>WDR5B</v>
      </c>
      <c r="B17920" t="s">
        <v>4</v>
      </c>
    </row>
    <row r="17921" spans="1:2" x14ac:dyDescent="0.2">
      <c r="A17921" t="str">
        <f>"WDR6"</f>
        <v>WDR6</v>
      </c>
      <c r="B17921" t="s">
        <v>2</v>
      </c>
    </row>
    <row r="17922" spans="1:2" x14ac:dyDescent="0.2">
      <c r="A17922" t="str">
        <f>"WDR60"</f>
        <v>WDR60</v>
      </c>
      <c r="B17922" t="s">
        <v>4</v>
      </c>
    </row>
    <row r="17923" spans="1:2" x14ac:dyDescent="0.2">
      <c r="A17923" t="str">
        <f>"WDR61"</f>
        <v>WDR61</v>
      </c>
      <c r="B17923" t="s">
        <v>8</v>
      </c>
    </row>
    <row r="17924" spans="1:2" x14ac:dyDescent="0.2">
      <c r="A17924" t="str">
        <f>"WDR62"</f>
        <v>WDR62</v>
      </c>
      <c r="B17924" t="s">
        <v>4</v>
      </c>
    </row>
    <row r="17925" spans="1:2" x14ac:dyDescent="0.2">
      <c r="A17925" t="str">
        <f>"WDR63"</f>
        <v>WDR63</v>
      </c>
      <c r="B17925" t="s">
        <v>4</v>
      </c>
    </row>
    <row r="17926" spans="1:2" x14ac:dyDescent="0.2">
      <c r="A17926" t="str">
        <f>"WDR64"</f>
        <v>WDR64</v>
      </c>
      <c r="B17926" t="s">
        <v>4</v>
      </c>
    </row>
    <row r="17927" spans="1:2" x14ac:dyDescent="0.2">
      <c r="A17927" t="str">
        <f>"WDR65"</f>
        <v>WDR65</v>
      </c>
      <c r="B17927" t="s">
        <v>4</v>
      </c>
    </row>
    <row r="17928" spans="1:2" x14ac:dyDescent="0.2">
      <c r="A17928" t="str">
        <f>"WDR66"</f>
        <v>WDR66</v>
      </c>
      <c r="B17928" t="s">
        <v>6</v>
      </c>
    </row>
    <row r="17929" spans="1:2" x14ac:dyDescent="0.2">
      <c r="A17929" t="str">
        <f>"WDR7"</f>
        <v>WDR7</v>
      </c>
      <c r="B17929" t="s">
        <v>2</v>
      </c>
    </row>
    <row r="17930" spans="1:2" x14ac:dyDescent="0.2">
      <c r="A17930" t="str">
        <f>"WDR70"</f>
        <v>WDR70</v>
      </c>
      <c r="B17930" t="s">
        <v>3</v>
      </c>
    </row>
    <row r="17931" spans="1:2" x14ac:dyDescent="0.2">
      <c r="A17931" t="str">
        <f>"WDR72"</f>
        <v>WDR72</v>
      </c>
      <c r="B17931" t="s">
        <v>4</v>
      </c>
    </row>
    <row r="17932" spans="1:2" x14ac:dyDescent="0.2">
      <c r="A17932" t="str">
        <f>"WDR73"</f>
        <v>WDR73</v>
      </c>
      <c r="B17932" t="s">
        <v>4</v>
      </c>
    </row>
    <row r="17933" spans="1:2" x14ac:dyDescent="0.2">
      <c r="A17933" t="str">
        <f>"WDR74"</f>
        <v>WDR74</v>
      </c>
      <c r="B17933" t="s">
        <v>4</v>
      </c>
    </row>
    <row r="17934" spans="1:2" x14ac:dyDescent="0.2">
      <c r="A17934" t="str">
        <f>"WDR75"</f>
        <v>WDR75</v>
      </c>
      <c r="B17934" t="s">
        <v>4</v>
      </c>
    </row>
    <row r="17935" spans="1:2" x14ac:dyDescent="0.2">
      <c r="A17935" t="str">
        <f>"WDR76"</f>
        <v>WDR76</v>
      </c>
      <c r="B17935" t="s">
        <v>3</v>
      </c>
    </row>
    <row r="17936" spans="1:2" x14ac:dyDescent="0.2">
      <c r="A17936" t="str">
        <f>"WDR77"</f>
        <v>WDR77</v>
      </c>
      <c r="B17936" t="s">
        <v>4</v>
      </c>
    </row>
    <row r="17937" spans="1:2" x14ac:dyDescent="0.2">
      <c r="A17937" t="str">
        <f>"WDR78"</f>
        <v>WDR78</v>
      </c>
      <c r="B17937" t="s">
        <v>2</v>
      </c>
    </row>
    <row r="17938" spans="1:2" x14ac:dyDescent="0.2">
      <c r="A17938" t="str">
        <f>"WDR81"</f>
        <v>WDR81</v>
      </c>
      <c r="B17938" t="s">
        <v>4</v>
      </c>
    </row>
    <row r="17939" spans="1:2" x14ac:dyDescent="0.2">
      <c r="A17939" t="str">
        <f>"WDR82"</f>
        <v>WDR82</v>
      </c>
      <c r="B17939" t="s">
        <v>4</v>
      </c>
    </row>
    <row r="17940" spans="1:2" x14ac:dyDescent="0.2">
      <c r="A17940" t="str">
        <f>"WDR83"</f>
        <v>WDR83</v>
      </c>
      <c r="B17940" t="s">
        <v>8</v>
      </c>
    </row>
    <row r="17941" spans="1:2" x14ac:dyDescent="0.2">
      <c r="A17941" t="str">
        <f>"WDR83OS"</f>
        <v>WDR83OS</v>
      </c>
      <c r="B17941" t="s">
        <v>5</v>
      </c>
    </row>
    <row r="17942" spans="1:2" x14ac:dyDescent="0.2">
      <c r="A17942" t="str">
        <f>"WDR86"</f>
        <v>WDR86</v>
      </c>
      <c r="B17942" t="s">
        <v>4</v>
      </c>
    </row>
    <row r="17943" spans="1:2" x14ac:dyDescent="0.2">
      <c r="A17943" t="str">
        <f>"WDR87"</f>
        <v>WDR87</v>
      </c>
      <c r="B17943" t="s">
        <v>4</v>
      </c>
    </row>
    <row r="17944" spans="1:2" x14ac:dyDescent="0.2">
      <c r="A17944" t="str">
        <f>"WDR88"</f>
        <v>WDR88</v>
      </c>
      <c r="B17944" t="s">
        <v>4</v>
      </c>
    </row>
    <row r="17945" spans="1:2" x14ac:dyDescent="0.2">
      <c r="A17945" t="str">
        <f>"WDR89"</f>
        <v>WDR89</v>
      </c>
      <c r="B17945" t="s">
        <v>3</v>
      </c>
    </row>
    <row r="17946" spans="1:2" x14ac:dyDescent="0.2">
      <c r="A17946" t="str">
        <f>"WDR90"</f>
        <v>WDR90</v>
      </c>
      <c r="B17946" t="s">
        <v>5</v>
      </c>
    </row>
    <row r="17947" spans="1:2" x14ac:dyDescent="0.2">
      <c r="A17947" t="str">
        <f>"WDR91"</f>
        <v>WDR91</v>
      </c>
      <c r="B17947" t="s">
        <v>3</v>
      </c>
    </row>
    <row r="17948" spans="1:2" x14ac:dyDescent="0.2">
      <c r="A17948" t="str">
        <f>"WDR92"</f>
        <v>WDR92</v>
      </c>
      <c r="B17948" t="s">
        <v>8</v>
      </c>
    </row>
    <row r="17949" spans="1:2" x14ac:dyDescent="0.2">
      <c r="A17949" t="str">
        <f>"WDR93"</f>
        <v>WDR93</v>
      </c>
      <c r="B17949" t="s">
        <v>4</v>
      </c>
    </row>
    <row r="17950" spans="1:2" x14ac:dyDescent="0.2">
      <c r="A17950" t="str">
        <f>"WDR96"</f>
        <v>WDR96</v>
      </c>
      <c r="B17950" t="s">
        <v>4</v>
      </c>
    </row>
    <row r="17951" spans="1:2" x14ac:dyDescent="0.2">
      <c r="A17951" t="str">
        <f>"WDSUB1"</f>
        <v>WDSUB1</v>
      </c>
      <c r="B17951" t="s">
        <v>7</v>
      </c>
    </row>
    <row r="17952" spans="1:2" x14ac:dyDescent="0.2">
      <c r="A17952" t="str">
        <f>"WDTC1"</f>
        <v>WDTC1</v>
      </c>
      <c r="B17952" t="s">
        <v>2</v>
      </c>
    </row>
    <row r="17953" spans="1:2" x14ac:dyDescent="0.2">
      <c r="A17953" t="str">
        <f>"WDYHV1"</f>
        <v>WDYHV1</v>
      </c>
      <c r="B17953" t="s">
        <v>4</v>
      </c>
    </row>
    <row r="17954" spans="1:2" x14ac:dyDescent="0.2">
      <c r="A17954" t="str">
        <f>"WEE1"</f>
        <v>WEE1</v>
      </c>
      <c r="B17954" t="s">
        <v>7</v>
      </c>
    </row>
    <row r="17955" spans="1:2" x14ac:dyDescent="0.2">
      <c r="A17955" t="str">
        <f>"WEE2"</f>
        <v>WEE2</v>
      </c>
      <c r="B17955" t="s">
        <v>3</v>
      </c>
    </row>
    <row r="17956" spans="1:2" x14ac:dyDescent="0.2">
      <c r="A17956" t="str">
        <f>"WFDC1"</f>
        <v>WFDC1</v>
      </c>
      <c r="B17956" t="s">
        <v>4</v>
      </c>
    </row>
    <row r="17957" spans="1:2" x14ac:dyDescent="0.2">
      <c r="A17957" t="str">
        <f>"WFDC10A"</f>
        <v>WFDC10A</v>
      </c>
      <c r="B17957" t="s">
        <v>4</v>
      </c>
    </row>
    <row r="17958" spans="1:2" x14ac:dyDescent="0.2">
      <c r="A17958" t="str">
        <f>"WFDC10B"</f>
        <v>WFDC10B</v>
      </c>
      <c r="B17958" t="s">
        <v>4</v>
      </c>
    </row>
    <row r="17959" spans="1:2" x14ac:dyDescent="0.2">
      <c r="A17959" t="str">
        <f>"WFDC11"</f>
        <v>WFDC11</v>
      </c>
      <c r="B17959" t="s">
        <v>5</v>
      </c>
    </row>
    <row r="17960" spans="1:2" x14ac:dyDescent="0.2">
      <c r="A17960" t="str">
        <f>"WFDC12"</f>
        <v>WFDC12</v>
      </c>
      <c r="B17960" t="s">
        <v>4</v>
      </c>
    </row>
    <row r="17961" spans="1:2" x14ac:dyDescent="0.2">
      <c r="A17961" t="str">
        <f>"WFDC13"</f>
        <v>WFDC13</v>
      </c>
      <c r="B17961" t="s">
        <v>4</v>
      </c>
    </row>
    <row r="17962" spans="1:2" x14ac:dyDescent="0.2">
      <c r="A17962" t="str">
        <f>"WFDC2"</f>
        <v>WFDC2</v>
      </c>
      <c r="B17962" t="s">
        <v>2</v>
      </c>
    </row>
    <row r="17963" spans="1:2" x14ac:dyDescent="0.2">
      <c r="A17963" t="str">
        <f>"WFDC3"</f>
        <v>WFDC3</v>
      </c>
      <c r="B17963" t="s">
        <v>4</v>
      </c>
    </row>
    <row r="17964" spans="1:2" x14ac:dyDescent="0.2">
      <c r="A17964" t="str">
        <f>"WFDC5"</f>
        <v>WFDC5</v>
      </c>
      <c r="B17964" t="s">
        <v>4</v>
      </c>
    </row>
    <row r="17965" spans="1:2" x14ac:dyDescent="0.2">
      <c r="A17965" t="str">
        <f>"WFDC6"</f>
        <v>WFDC6</v>
      </c>
      <c r="B17965" t="s">
        <v>4</v>
      </c>
    </row>
    <row r="17966" spans="1:2" x14ac:dyDescent="0.2">
      <c r="A17966" t="str">
        <f>"WFDC8"</f>
        <v>WFDC8</v>
      </c>
      <c r="B17966" t="s">
        <v>4</v>
      </c>
    </row>
    <row r="17967" spans="1:2" x14ac:dyDescent="0.2">
      <c r="A17967" t="str">
        <f>"WFDC9"</f>
        <v>WFDC9</v>
      </c>
      <c r="B17967" t="s">
        <v>5</v>
      </c>
    </row>
    <row r="17968" spans="1:2" x14ac:dyDescent="0.2">
      <c r="A17968" t="str">
        <f>"WFIKKN1"</f>
        <v>WFIKKN1</v>
      </c>
      <c r="B17968" t="s">
        <v>2</v>
      </c>
    </row>
    <row r="17969" spans="1:2" x14ac:dyDescent="0.2">
      <c r="A17969" t="str">
        <f>"WFIKKN2"</f>
        <v>WFIKKN2</v>
      </c>
      <c r="B17969" t="s">
        <v>4</v>
      </c>
    </row>
    <row r="17970" spans="1:2" x14ac:dyDescent="0.2">
      <c r="A17970" t="str">
        <f>"WFS1"</f>
        <v>WFS1</v>
      </c>
      <c r="B17970" t="s">
        <v>6</v>
      </c>
    </row>
    <row r="17971" spans="1:2" x14ac:dyDescent="0.2">
      <c r="A17971" t="str">
        <f>"WHAMM"</f>
        <v>WHAMM</v>
      </c>
      <c r="B17971" t="s">
        <v>4</v>
      </c>
    </row>
    <row r="17972" spans="1:2" x14ac:dyDescent="0.2">
      <c r="A17972" t="str">
        <f>"WHSC1"</f>
        <v>WHSC1</v>
      </c>
      <c r="B17972" t="s">
        <v>3</v>
      </c>
    </row>
    <row r="17973" spans="1:2" x14ac:dyDescent="0.2">
      <c r="A17973" t="str">
        <f>"WHSC1L1"</f>
        <v>WHSC1L1</v>
      </c>
      <c r="B17973" t="s">
        <v>3</v>
      </c>
    </row>
    <row r="17974" spans="1:2" x14ac:dyDescent="0.2">
      <c r="A17974" t="str">
        <f>"WIBG"</f>
        <v>WIBG</v>
      </c>
      <c r="B17974" t="s">
        <v>4</v>
      </c>
    </row>
    <row r="17975" spans="1:2" x14ac:dyDescent="0.2">
      <c r="A17975" t="str">
        <f>"WIF1"</f>
        <v>WIF1</v>
      </c>
      <c r="B17975" t="s">
        <v>3</v>
      </c>
    </row>
    <row r="17976" spans="1:2" x14ac:dyDescent="0.2">
      <c r="A17976" t="str">
        <f>"WIPF1"</f>
        <v>WIPF1</v>
      </c>
      <c r="B17976" t="s">
        <v>6</v>
      </c>
    </row>
    <row r="17977" spans="1:2" x14ac:dyDescent="0.2">
      <c r="A17977" t="str">
        <f>"WIPF2"</f>
        <v>WIPF2</v>
      </c>
      <c r="B17977" t="s">
        <v>6</v>
      </c>
    </row>
    <row r="17978" spans="1:2" x14ac:dyDescent="0.2">
      <c r="A17978" t="str">
        <f>"WIPF3"</f>
        <v>WIPF3</v>
      </c>
      <c r="B17978" t="s">
        <v>6</v>
      </c>
    </row>
    <row r="17979" spans="1:2" x14ac:dyDescent="0.2">
      <c r="A17979" t="str">
        <f>"WIPI1"</f>
        <v>WIPI1</v>
      </c>
      <c r="B17979" t="s">
        <v>2</v>
      </c>
    </row>
    <row r="17980" spans="1:2" x14ac:dyDescent="0.2">
      <c r="A17980" t="str">
        <f>"WIPI2"</f>
        <v>WIPI2</v>
      </c>
      <c r="B17980" t="s">
        <v>2</v>
      </c>
    </row>
    <row r="17981" spans="1:2" x14ac:dyDescent="0.2">
      <c r="A17981" t="str">
        <f>"WISP1"</f>
        <v>WISP1</v>
      </c>
      <c r="B17981" t="s">
        <v>4</v>
      </c>
    </row>
    <row r="17982" spans="1:2" x14ac:dyDescent="0.2">
      <c r="A17982" t="str">
        <f>"WISP2"</f>
        <v>WISP2</v>
      </c>
      <c r="B17982" t="s">
        <v>3</v>
      </c>
    </row>
    <row r="17983" spans="1:2" x14ac:dyDescent="0.2">
      <c r="A17983" t="str">
        <f>"WISP3"</f>
        <v>WISP3</v>
      </c>
      <c r="B17983" t="s">
        <v>3</v>
      </c>
    </row>
    <row r="17984" spans="1:2" x14ac:dyDescent="0.2">
      <c r="A17984" t="str">
        <f>"WIZ"</f>
        <v>WIZ</v>
      </c>
      <c r="B17984" t="s">
        <v>8</v>
      </c>
    </row>
    <row r="17985" spans="1:2" x14ac:dyDescent="0.2">
      <c r="A17985" t="str">
        <f>"WLS"</f>
        <v>WLS</v>
      </c>
      <c r="B17985" t="s">
        <v>6</v>
      </c>
    </row>
    <row r="17986" spans="1:2" x14ac:dyDescent="0.2">
      <c r="A17986" t="str">
        <f>"WNK1"</f>
        <v>WNK1</v>
      </c>
      <c r="B17986" t="s">
        <v>7</v>
      </c>
    </row>
    <row r="17987" spans="1:2" x14ac:dyDescent="0.2">
      <c r="A17987" t="str">
        <f>"WNK2"</f>
        <v>WNK2</v>
      </c>
      <c r="B17987" t="s">
        <v>7</v>
      </c>
    </row>
    <row r="17988" spans="1:2" x14ac:dyDescent="0.2">
      <c r="A17988" t="str">
        <f>"WNK3"</f>
        <v>WNK3</v>
      </c>
      <c r="B17988" t="s">
        <v>7</v>
      </c>
    </row>
    <row r="17989" spans="1:2" x14ac:dyDescent="0.2">
      <c r="A17989" t="str">
        <f>"WNK4"</f>
        <v>WNK4</v>
      </c>
      <c r="B17989" t="s">
        <v>7</v>
      </c>
    </row>
    <row r="17990" spans="1:2" x14ac:dyDescent="0.2">
      <c r="A17990" t="str">
        <f>"WNT1"</f>
        <v>WNT1</v>
      </c>
      <c r="B17990" t="s">
        <v>3</v>
      </c>
    </row>
    <row r="17991" spans="1:2" x14ac:dyDescent="0.2">
      <c r="A17991" t="str">
        <f>"WNT10A"</f>
        <v>WNT10A</v>
      </c>
      <c r="B17991" t="s">
        <v>3</v>
      </c>
    </row>
    <row r="17992" spans="1:2" x14ac:dyDescent="0.2">
      <c r="A17992" t="str">
        <f>"WNT10B"</f>
        <v>WNT10B</v>
      </c>
      <c r="B17992" t="s">
        <v>3</v>
      </c>
    </row>
    <row r="17993" spans="1:2" x14ac:dyDescent="0.2">
      <c r="A17993" t="str">
        <f>"WNT11"</f>
        <v>WNT11</v>
      </c>
      <c r="B17993" t="s">
        <v>3</v>
      </c>
    </row>
    <row r="17994" spans="1:2" x14ac:dyDescent="0.2">
      <c r="A17994" t="str">
        <f>"WNT16"</f>
        <v>WNT16</v>
      </c>
      <c r="B17994" t="s">
        <v>3</v>
      </c>
    </row>
    <row r="17995" spans="1:2" x14ac:dyDescent="0.2">
      <c r="A17995" t="str">
        <f>"WNT2"</f>
        <v>WNT2</v>
      </c>
      <c r="B17995" t="s">
        <v>6</v>
      </c>
    </row>
    <row r="17996" spans="1:2" x14ac:dyDescent="0.2">
      <c r="A17996" t="str">
        <f>"WNT2B"</f>
        <v>WNT2B</v>
      </c>
      <c r="B17996" t="s">
        <v>3</v>
      </c>
    </row>
    <row r="17997" spans="1:2" x14ac:dyDescent="0.2">
      <c r="A17997" t="str">
        <f>"WNT3"</f>
        <v>WNT3</v>
      </c>
      <c r="B17997" t="s">
        <v>3</v>
      </c>
    </row>
    <row r="17998" spans="1:2" x14ac:dyDescent="0.2">
      <c r="A17998" t="str">
        <f>"WNT3A"</f>
        <v>WNT3A</v>
      </c>
      <c r="B17998" t="s">
        <v>3</v>
      </c>
    </row>
    <row r="17999" spans="1:2" x14ac:dyDescent="0.2">
      <c r="A17999" t="str">
        <f>"WNT4"</f>
        <v>WNT4</v>
      </c>
      <c r="B17999" t="s">
        <v>3</v>
      </c>
    </row>
    <row r="18000" spans="1:2" x14ac:dyDescent="0.2">
      <c r="A18000" t="str">
        <f>"WNT5A"</f>
        <v>WNT5A</v>
      </c>
      <c r="B18000" t="s">
        <v>4</v>
      </c>
    </row>
    <row r="18001" spans="1:2" x14ac:dyDescent="0.2">
      <c r="A18001" t="str">
        <f>"WNT5B"</f>
        <v>WNT5B</v>
      </c>
      <c r="B18001" t="s">
        <v>3</v>
      </c>
    </row>
    <row r="18002" spans="1:2" x14ac:dyDescent="0.2">
      <c r="A18002" t="str">
        <f>"WNT6"</f>
        <v>WNT6</v>
      </c>
      <c r="B18002" t="s">
        <v>3</v>
      </c>
    </row>
    <row r="18003" spans="1:2" x14ac:dyDescent="0.2">
      <c r="A18003" t="str">
        <f>"WNT7A"</f>
        <v>WNT7A</v>
      </c>
      <c r="B18003" t="s">
        <v>4</v>
      </c>
    </row>
    <row r="18004" spans="1:2" x14ac:dyDescent="0.2">
      <c r="A18004" t="str">
        <f>"WNT7B"</f>
        <v>WNT7B</v>
      </c>
      <c r="B18004" t="s">
        <v>3</v>
      </c>
    </row>
    <row r="18005" spans="1:2" x14ac:dyDescent="0.2">
      <c r="A18005" t="str">
        <f>"WNT8A"</f>
        <v>WNT8A</v>
      </c>
      <c r="B18005" t="s">
        <v>6</v>
      </c>
    </row>
    <row r="18006" spans="1:2" x14ac:dyDescent="0.2">
      <c r="A18006" t="str">
        <f>"WNT8B"</f>
        <v>WNT8B</v>
      </c>
      <c r="B18006" t="s">
        <v>3</v>
      </c>
    </row>
    <row r="18007" spans="1:2" x14ac:dyDescent="0.2">
      <c r="A18007" t="str">
        <f>"WNT9A"</f>
        <v>WNT9A</v>
      </c>
      <c r="B18007" t="s">
        <v>3</v>
      </c>
    </row>
    <row r="18008" spans="1:2" x14ac:dyDescent="0.2">
      <c r="A18008" t="str">
        <f>"WNT9B"</f>
        <v>WNT9B</v>
      </c>
      <c r="B18008" t="s">
        <v>8</v>
      </c>
    </row>
    <row r="18009" spans="1:2" x14ac:dyDescent="0.2">
      <c r="A18009" t="str">
        <f>"WRAP53"</f>
        <v>WRAP53</v>
      </c>
      <c r="B18009" t="s">
        <v>6</v>
      </c>
    </row>
    <row r="18010" spans="1:2" x14ac:dyDescent="0.2">
      <c r="A18010" t="str">
        <f>"WRAP73"</f>
        <v>WRAP73</v>
      </c>
      <c r="B18010" t="s">
        <v>4</v>
      </c>
    </row>
    <row r="18011" spans="1:2" x14ac:dyDescent="0.2">
      <c r="A18011" t="str">
        <f>"WRB"</f>
        <v>WRB</v>
      </c>
      <c r="B18011" t="s">
        <v>5</v>
      </c>
    </row>
    <row r="18012" spans="1:2" x14ac:dyDescent="0.2">
      <c r="A18012" t="str">
        <f>"WRN"</f>
        <v>WRN</v>
      </c>
      <c r="B18012" t="s">
        <v>3</v>
      </c>
    </row>
    <row r="18013" spans="1:2" x14ac:dyDescent="0.2">
      <c r="A18013" t="str">
        <f>"WRNIP1"</f>
        <v>WRNIP1</v>
      </c>
      <c r="B18013" t="s">
        <v>3</v>
      </c>
    </row>
    <row r="18014" spans="1:2" x14ac:dyDescent="0.2">
      <c r="A18014" t="str">
        <f>"WSB1"</f>
        <v>WSB1</v>
      </c>
      <c r="B18014" t="s">
        <v>2</v>
      </c>
    </row>
    <row r="18015" spans="1:2" x14ac:dyDescent="0.2">
      <c r="A18015" t="str">
        <f>"WSB2"</f>
        <v>WSB2</v>
      </c>
      <c r="B18015" t="s">
        <v>2</v>
      </c>
    </row>
    <row r="18016" spans="1:2" x14ac:dyDescent="0.2">
      <c r="A18016" t="str">
        <f>"WSCD1"</f>
        <v>WSCD1</v>
      </c>
      <c r="B18016" t="s">
        <v>3</v>
      </c>
    </row>
    <row r="18017" spans="1:2" x14ac:dyDescent="0.2">
      <c r="A18017" t="str">
        <f>"WSCD2"</f>
        <v>WSCD2</v>
      </c>
      <c r="B18017" t="s">
        <v>4</v>
      </c>
    </row>
    <row r="18018" spans="1:2" x14ac:dyDescent="0.2">
      <c r="A18018" t="str">
        <f>"WT1"</f>
        <v>WT1</v>
      </c>
      <c r="B18018" t="s">
        <v>3</v>
      </c>
    </row>
    <row r="18019" spans="1:2" x14ac:dyDescent="0.2">
      <c r="A18019" t="str">
        <f>"WTAP"</f>
        <v>WTAP</v>
      </c>
      <c r="B18019" t="s">
        <v>3</v>
      </c>
    </row>
    <row r="18020" spans="1:2" x14ac:dyDescent="0.2">
      <c r="A18020" t="str">
        <f>"WTH3DI"</f>
        <v>WTH3DI</v>
      </c>
      <c r="B18020" t="s">
        <v>4</v>
      </c>
    </row>
    <row r="18021" spans="1:2" x14ac:dyDescent="0.2">
      <c r="A18021" t="str">
        <f>"WTIP"</f>
        <v>WTIP</v>
      </c>
      <c r="B18021" t="s">
        <v>4</v>
      </c>
    </row>
    <row r="18022" spans="1:2" x14ac:dyDescent="0.2">
      <c r="A18022" t="str">
        <f>"WWC1"</f>
        <v>WWC1</v>
      </c>
      <c r="B18022" t="s">
        <v>4</v>
      </c>
    </row>
    <row r="18023" spans="1:2" x14ac:dyDescent="0.2">
      <c r="A18023" t="str">
        <f>"WWC2"</f>
        <v>WWC2</v>
      </c>
      <c r="B18023" t="s">
        <v>4</v>
      </c>
    </row>
    <row r="18024" spans="1:2" x14ac:dyDescent="0.2">
      <c r="A18024" t="str">
        <f>"WWC3"</f>
        <v>WWC3</v>
      </c>
      <c r="B18024" t="s">
        <v>4</v>
      </c>
    </row>
    <row r="18025" spans="1:2" x14ac:dyDescent="0.2">
      <c r="A18025" t="str">
        <f>"WWOX"</f>
        <v>WWOX</v>
      </c>
      <c r="B18025" t="s">
        <v>3</v>
      </c>
    </row>
    <row r="18026" spans="1:2" x14ac:dyDescent="0.2">
      <c r="A18026" t="str">
        <f>"WWP1"</f>
        <v>WWP1</v>
      </c>
      <c r="B18026" t="s">
        <v>2</v>
      </c>
    </row>
    <row r="18027" spans="1:2" x14ac:dyDescent="0.2">
      <c r="A18027" t="str">
        <f>"WWP2"</f>
        <v>WWP2</v>
      </c>
      <c r="B18027" t="s">
        <v>2</v>
      </c>
    </row>
    <row r="18028" spans="1:2" x14ac:dyDescent="0.2">
      <c r="A18028" t="str">
        <f>"WWTR1"</f>
        <v>WWTR1</v>
      </c>
      <c r="B18028" t="s">
        <v>8</v>
      </c>
    </row>
    <row r="18029" spans="1:2" x14ac:dyDescent="0.2">
      <c r="A18029" t="str">
        <f>"XAB2"</f>
        <v>XAB2</v>
      </c>
      <c r="B18029" t="s">
        <v>3</v>
      </c>
    </row>
    <row r="18030" spans="1:2" x14ac:dyDescent="0.2">
      <c r="A18030" t="str">
        <f>"XAF1"</f>
        <v>XAF1</v>
      </c>
      <c r="B18030" t="s">
        <v>6</v>
      </c>
    </row>
    <row r="18031" spans="1:2" x14ac:dyDescent="0.2">
      <c r="A18031" t="str">
        <f>"XAGE1B"</f>
        <v>XAGE1B</v>
      </c>
      <c r="B18031" t="s">
        <v>4</v>
      </c>
    </row>
    <row r="18032" spans="1:2" x14ac:dyDescent="0.2">
      <c r="A18032" t="str">
        <f>"XAGE2"</f>
        <v>XAGE2</v>
      </c>
      <c r="B18032" t="s">
        <v>4</v>
      </c>
    </row>
    <row r="18033" spans="1:2" x14ac:dyDescent="0.2">
      <c r="A18033" t="str">
        <f>"XAGE3"</f>
        <v>XAGE3</v>
      </c>
      <c r="B18033" t="s">
        <v>4</v>
      </c>
    </row>
    <row r="18034" spans="1:2" x14ac:dyDescent="0.2">
      <c r="A18034" t="str">
        <f>"XAGE5"</f>
        <v>XAGE5</v>
      </c>
      <c r="B18034" t="s">
        <v>4</v>
      </c>
    </row>
    <row r="18035" spans="1:2" x14ac:dyDescent="0.2">
      <c r="A18035" t="str">
        <f>"XBP1"</f>
        <v>XBP1</v>
      </c>
      <c r="B18035" t="s">
        <v>2</v>
      </c>
    </row>
    <row r="18036" spans="1:2" x14ac:dyDescent="0.2">
      <c r="A18036" t="str">
        <f>"XCL1"</f>
        <v>XCL1</v>
      </c>
      <c r="B18036" t="s">
        <v>4</v>
      </c>
    </row>
    <row r="18037" spans="1:2" x14ac:dyDescent="0.2">
      <c r="A18037" t="str">
        <f>"XCL2"</f>
        <v>XCL2</v>
      </c>
      <c r="B18037" t="s">
        <v>4</v>
      </c>
    </row>
    <row r="18038" spans="1:2" x14ac:dyDescent="0.2">
      <c r="A18038" t="str">
        <f>"XCR1"</f>
        <v>XCR1</v>
      </c>
      <c r="B18038" t="s">
        <v>5</v>
      </c>
    </row>
    <row r="18039" spans="1:2" x14ac:dyDescent="0.2">
      <c r="A18039" t="str">
        <f>"XDH"</f>
        <v>XDH</v>
      </c>
      <c r="B18039" t="s">
        <v>3</v>
      </c>
    </row>
    <row r="18040" spans="1:2" x14ac:dyDescent="0.2">
      <c r="A18040" t="str">
        <f>"XG"</f>
        <v>XG</v>
      </c>
      <c r="B18040" t="s">
        <v>5</v>
      </c>
    </row>
    <row r="18041" spans="1:2" x14ac:dyDescent="0.2">
      <c r="A18041" t="str">
        <f>"XIAP"</f>
        <v>XIAP</v>
      </c>
      <c r="B18041" t="s">
        <v>3</v>
      </c>
    </row>
    <row r="18042" spans="1:2" x14ac:dyDescent="0.2">
      <c r="A18042" t="str">
        <f>"XIRP1"</f>
        <v>XIRP1</v>
      </c>
      <c r="B18042" t="s">
        <v>3</v>
      </c>
    </row>
    <row r="18043" spans="1:2" x14ac:dyDescent="0.2">
      <c r="A18043" t="str">
        <f>"XIRP2"</f>
        <v>XIRP2</v>
      </c>
      <c r="B18043" t="s">
        <v>4</v>
      </c>
    </row>
    <row r="18044" spans="1:2" x14ac:dyDescent="0.2">
      <c r="A18044" t="str">
        <f>"XK"</f>
        <v>XK</v>
      </c>
      <c r="B18044" t="s">
        <v>5</v>
      </c>
    </row>
    <row r="18045" spans="1:2" x14ac:dyDescent="0.2">
      <c r="A18045" t="str">
        <f>"XKR3"</f>
        <v>XKR3</v>
      </c>
      <c r="B18045" t="s">
        <v>5</v>
      </c>
    </row>
    <row r="18046" spans="1:2" x14ac:dyDescent="0.2">
      <c r="A18046" t="str">
        <f>"XKR4"</f>
        <v>XKR4</v>
      </c>
      <c r="B18046" t="s">
        <v>5</v>
      </c>
    </row>
    <row r="18047" spans="1:2" x14ac:dyDescent="0.2">
      <c r="A18047" t="str">
        <f>"XKR5"</f>
        <v>XKR5</v>
      </c>
      <c r="B18047" t="s">
        <v>5</v>
      </c>
    </row>
    <row r="18048" spans="1:2" x14ac:dyDescent="0.2">
      <c r="A18048" t="str">
        <f>"XKR6"</f>
        <v>XKR6</v>
      </c>
      <c r="B18048" t="s">
        <v>5</v>
      </c>
    </row>
    <row r="18049" spans="1:2" x14ac:dyDescent="0.2">
      <c r="A18049" t="str">
        <f>"XKR7"</f>
        <v>XKR7</v>
      </c>
      <c r="B18049" t="s">
        <v>5</v>
      </c>
    </row>
    <row r="18050" spans="1:2" x14ac:dyDescent="0.2">
      <c r="A18050" t="str">
        <f>"XKR8"</f>
        <v>XKR8</v>
      </c>
      <c r="B18050" t="s">
        <v>5</v>
      </c>
    </row>
    <row r="18051" spans="1:2" x14ac:dyDescent="0.2">
      <c r="A18051" t="str">
        <f>"XKR9"</f>
        <v>XKR9</v>
      </c>
      <c r="B18051" t="s">
        <v>2</v>
      </c>
    </row>
    <row r="18052" spans="1:2" x14ac:dyDescent="0.2">
      <c r="A18052" t="str">
        <f>"XKRX"</f>
        <v>XKRX</v>
      </c>
      <c r="B18052" t="s">
        <v>5</v>
      </c>
    </row>
    <row r="18053" spans="1:2" x14ac:dyDescent="0.2">
      <c r="A18053" t="str">
        <f>"XPA"</f>
        <v>XPA</v>
      </c>
      <c r="B18053" t="s">
        <v>3</v>
      </c>
    </row>
    <row r="18054" spans="1:2" x14ac:dyDescent="0.2">
      <c r="A18054" t="str">
        <f>"XPC"</f>
        <v>XPC</v>
      </c>
      <c r="B18054" t="s">
        <v>3</v>
      </c>
    </row>
    <row r="18055" spans="1:2" x14ac:dyDescent="0.2">
      <c r="A18055" t="str">
        <f>"XPNPEP1"</f>
        <v>XPNPEP1</v>
      </c>
      <c r="B18055" t="s">
        <v>2</v>
      </c>
    </row>
    <row r="18056" spans="1:2" x14ac:dyDescent="0.2">
      <c r="A18056" t="str">
        <f>"XPNPEP2"</f>
        <v>XPNPEP2</v>
      </c>
      <c r="B18056" t="s">
        <v>2</v>
      </c>
    </row>
    <row r="18057" spans="1:2" x14ac:dyDescent="0.2">
      <c r="A18057" t="str">
        <f>"XPNPEP3"</f>
        <v>XPNPEP3</v>
      </c>
      <c r="B18057" t="s">
        <v>2</v>
      </c>
    </row>
    <row r="18058" spans="1:2" x14ac:dyDescent="0.2">
      <c r="A18058" t="str">
        <f>"XPO1"</f>
        <v>XPO1</v>
      </c>
      <c r="B18058" t="s">
        <v>6</v>
      </c>
    </row>
    <row r="18059" spans="1:2" x14ac:dyDescent="0.2">
      <c r="A18059" t="str">
        <f>"XPO4"</f>
        <v>XPO4</v>
      </c>
      <c r="B18059" t="s">
        <v>3</v>
      </c>
    </row>
    <row r="18060" spans="1:2" x14ac:dyDescent="0.2">
      <c r="A18060" t="str">
        <f>"XPO5"</f>
        <v>XPO5</v>
      </c>
      <c r="B18060" t="s">
        <v>8</v>
      </c>
    </row>
    <row r="18061" spans="1:2" x14ac:dyDescent="0.2">
      <c r="A18061" t="str">
        <f>"XPO6"</f>
        <v>XPO6</v>
      </c>
      <c r="B18061" t="s">
        <v>6</v>
      </c>
    </row>
    <row r="18062" spans="1:2" x14ac:dyDescent="0.2">
      <c r="A18062" t="str">
        <f>"XPO7"</f>
        <v>XPO7</v>
      </c>
      <c r="B18062" t="s">
        <v>6</v>
      </c>
    </row>
    <row r="18063" spans="1:2" x14ac:dyDescent="0.2">
      <c r="A18063" t="str">
        <f>"XPOT"</f>
        <v>XPOT</v>
      </c>
      <c r="B18063" t="s">
        <v>2</v>
      </c>
    </row>
    <row r="18064" spans="1:2" x14ac:dyDescent="0.2">
      <c r="A18064" t="str">
        <f>"XPR1"</f>
        <v>XPR1</v>
      </c>
      <c r="B18064" t="s">
        <v>6</v>
      </c>
    </row>
    <row r="18065" spans="1:2" x14ac:dyDescent="0.2">
      <c r="A18065" t="str">
        <f>"XRCC1"</f>
        <v>XRCC1</v>
      </c>
      <c r="B18065" t="s">
        <v>3</v>
      </c>
    </row>
    <row r="18066" spans="1:2" x14ac:dyDescent="0.2">
      <c r="A18066" t="str">
        <f>"XRCC2"</f>
        <v>XRCC2</v>
      </c>
      <c r="B18066" t="s">
        <v>3</v>
      </c>
    </row>
    <row r="18067" spans="1:2" x14ac:dyDescent="0.2">
      <c r="A18067" t="str">
        <f>"XRCC3"</f>
        <v>XRCC3</v>
      </c>
      <c r="B18067" t="s">
        <v>3</v>
      </c>
    </row>
    <row r="18068" spans="1:2" x14ac:dyDescent="0.2">
      <c r="A18068" t="str">
        <f>"XRCC4"</f>
        <v>XRCC4</v>
      </c>
      <c r="B18068" t="s">
        <v>3</v>
      </c>
    </row>
    <row r="18069" spans="1:2" x14ac:dyDescent="0.2">
      <c r="A18069" t="str">
        <f>"XRCC5"</f>
        <v>XRCC5</v>
      </c>
      <c r="B18069" t="s">
        <v>3</v>
      </c>
    </row>
    <row r="18070" spans="1:2" x14ac:dyDescent="0.2">
      <c r="A18070" t="str">
        <f>"XRCC6"</f>
        <v>XRCC6</v>
      </c>
      <c r="B18070" t="s">
        <v>3</v>
      </c>
    </row>
    <row r="18071" spans="1:2" x14ac:dyDescent="0.2">
      <c r="A18071" t="str">
        <f>"XRCC6BP1"</f>
        <v>XRCC6BP1</v>
      </c>
      <c r="B18071" t="s">
        <v>2</v>
      </c>
    </row>
    <row r="18072" spans="1:2" x14ac:dyDescent="0.2">
      <c r="A18072" t="str">
        <f>"XRN1"</f>
        <v>XRN1</v>
      </c>
      <c r="B18072" t="s">
        <v>3</v>
      </c>
    </row>
    <row r="18073" spans="1:2" x14ac:dyDescent="0.2">
      <c r="A18073" t="str">
        <f>"XRN2"</f>
        <v>XRN2</v>
      </c>
      <c r="B18073" t="s">
        <v>6</v>
      </c>
    </row>
    <row r="18074" spans="1:2" x14ac:dyDescent="0.2">
      <c r="A18074" t="str">
        <f>"XRRA1"</f>
        <v>XRRA1</v>
      </c>
      <c r="B18074" t="s">
        <v>2</v>
      </c>
    </row>
    <row r="18075" spans="1:2" x14ac:dyDescent="0.2">
      <c r="A18075" t="str">
        <f>"XXYLT1"</f>
        <v>XXYLT1</v>
      </c>
      <c r="B18075" t="s">
        <v>2</v>
      </c>
    </row>
    <row r="18076" spans="1:2" x14ac:dyDescent="0.2">
      <c r="A18076" t="str">
        <f>"XYLB"</f>
        <v>XYLB</v>
      </c>
      <c r="B18076" t="s">
        <v>7</v>
      </c>
    </row>
    <row r="18077" spans="1:2" x14ac:dyDescent="0.2">
      <c r="A18077" t="str">
        <f>"XYLT1"</f>
        <v>XYLT1</v>
      </c>
      <c r="B18077" t="s">
        <v>6</v>
      </c>
    </row>
    <row r="18078" spans="1:2" x14ac:dyDescent="0.2">
      <c r="A18078" t="str">
        <f>"XYLT2"</f>
        <v>XYLT2</v>
      </c>
      <c r="B18078" t="s">
        <v>6</v>
      </c>
    </row>
    <row r="18079" spans="1:2" x14ac:dyDescent="0.2">
      <c r="A18079" t="str">
        <f>"YAE1D1"</f>
        <v>YAE1D1</v>
      </c>
      <c r="B18079" t="s">
        <v>4</v>
      </c>
    </row>
    <row r="18080" spans="1:2" x14ac:dyDescent="0.2">
      <c r="A18080" t="str">
        <f>"YAF2"</f>
        <v>YAF2</v>
      </c>
      <c r="B18080" t="s">
        <v>8</v>
      </c>
    </row>
    <row r="18081" spans="1:2" x14ac:dyDescent="0.2">
      <c r="A18081" t="str">
        <f>"YAP1"</f>
        <v>YAP1</v>
      </c>
      <c r="B18081" t="s">
        <v>8</v>
      </c>
    </row>
    <row r="18082" spans="1:2" x14ac:dyDescent="0.2">
      <c r="A18082" t="str">
        <f>"YARS"</f>
        <v>YARS</v>
      </c>
      <c r="B18082" t="s">
        <v>7</v>
      </c>
    </row>
    <row r="18083" spans="1:2" x14ac:dyDescent="0.2">
      <c r="A18083" t="str">
        <f>"YARS2"</f>
        <v>YARS2</v>
      </c>
      <c r="B18083" t="s">
        <v>7</v>
      </c>
    </row>
    <row r="18084" spans="1:2" x14ac:dyDescent="0.2">
      <c r="A18084" t="str">
        <f>"YBEY"</f>
        <v>YBEY</v>
      </c>
      <c r="B18084" t="s">
        <v>6</v>
      </c>
    </row>
    <row r="18085" spans="1:2" x14ac:dyDescent="0.2">
      <c r="A18085" t="str">
        <f>"YBX1"</f>
        <v>YBX1</v>
      </c>
      <c r="B18085" t="s">
        <v>2</v>
      </c>
    </row>
    <row r="18086" spans="1:2" x14ac:dyDescent="0.2">
      <c r="A18086" t="str">
        <f>"YBX2"</f>
        <v>YBX2</v>
      </c>
      <c r="B18086" t="s">
        <v>6</v>
      </c>
    </row>
    <row r="18087" spans="1:2" x14ac:dyDescent="0.2">
      <c r="A18087" t="str">
        <f>"YBX3"</f>
        <v>YBX3</v>
      </c>
      <c r="B18087" t="s">
        <v>3</v>
      </c>
    </row>
    <row r="18088" spans="1:2" x14ac:dyDescent="0.2">
      <c r="A18088" t="str">
        <f>"YDJC"</f>
        <v>YDJC</v>
      </c>
      <c r="B18088" t="s">
        <v>4</v>
      </c>
    </row>
    <row r="18089" spans="1:2" x14ac:dyDescent="0.2">
      <c r="A18089" t="str">
        <f>"YEATS2"</f>
        <v>YEATS2</v>
      </c>
      <c r="B18089" t="s">
        <v>8</v>
      </c>
    </row>
    <row r="18090" spans="1:2" x14ac:dyDescent="0.2">
      <c r="A18090" t="str">
        <f>"YEATS4"</f>
        <v>YEATS4</v>
      </c>
      <c r="B18090" t="s">
        <v>8</v>
      </c>
    </row>
    <row r="18091" spans="1:2" x14ac:dyDescent="0.2">
      <c r="A18091" t="str">
        <f>"YES1"</f>
        <v>YES1</v>
      </c>
      <c r="B18091" t="s">
        <v>7</v>
      </c>
    </row>
    <row r="18092" spans="1:2" x14ac:dyDescent="0.2">
      <c r="A18092" t="str">
        <f>"YIF1A"</f>
        <v>YIF1A</v>
      </c>
      <c r="B18092" t="s">
        <v>2</v>
      </c>
    </row>
    <row r="18093" spans="1:2" x14ac:dyDescent="0.2">
      <c r="A18093" t="str">
        <f>"YIF1B"</f>
        <v>YIF1B</v>
      </c>
      <c r="B18093" t="s">
        <v>6</v>
      </c>
    </row>
    <row r="18094" spans="1:2" x14ac:dyDescent="0.2">
      <c r="A18094" t="str">
        <f>"YIPF1"</f>
        <v>YIPF1</v>
      </c>
      <c r="B18094" t="s">
        <v>2</v>
      </c>
    </row>
    <row r="18095" spans="1:2" x14ac:dyDescent="0.2">
      <c r="A18095" t="str">
        <f>"YIPF2"</f>
        <v>YIPF2</v>
      </c>
      <c r="B18095" t="s">
        <v>2</v>
      </c>
    </row>
    <row r="18096" spans="1:2" x14ac:dyDescent="0.2">
      <c r="A18096" t="str">
        <f>"YIPF3"</f>
        <v>YIPF3</v>
      </c>
      <c r="B18096" t="s">
        <v>2</v>
      </c>
    </row>
    <row r="18097" spans="1:2" x14ac:dyDescent="0.2">
      <c r="A18097" t="str">
        <f>"YIPF4"</f>
        <v>YIPF4</v>
      </c>
      <c r="B18097" t="s">
        <v>6</v>
      </c>
    </row>
    <row r="18098" spans="1:2" x14ac:dyDescent="0.2">
      <c r="A18098" t="str">
        <f>"YIPF5"</f>
        <v>YIPF5</v>
      </c>
      <c r="B18098" t="s">
        <v>2</v>
      </c>
    </row>
    <row r="18099" spans="1:2" x14ac:dyDescent="0.2">
      <c r="A18099" t="str">
        <f>"YIPF6"</f>
        <v>YIPF6</v>
      </c>
      <c r="B18099" t="s">
        <v>2</v>
      </c>
    </row>
    <row r="18100" spans="1:2" x14ac:dyDescent="0.2">
      <c r="A18100" t="str">
        <f>"YIPF7"</f>
        <v>YIPF7</v>
      </c>
      <c r="B18100" t="s">
        <v>5</v>
      </c>
    </row>
    <row r="18101" spans="1:2" x14ac:dyDescent="0.2">
      <c r="A18101" t="str">
        <f>"YJEFN3"</f>
        <v>YJEFN3</v>
      </c>
      <c r="B18101" t="s">
        <v>5</v>
      </c>
    </row>
    <row r="18102" spans="1:2" x14ac:dyDescent="0.2">
      <c r="A18102" t="str">
        <f>"YKT6"</f>
        <v>YKT6</v>
      </c>
      <c r="B18102" t="s">
        <v>2</v>
      </c>
    </row>
    <row r="18103" spans="1:2" x14ac:dyDescent="0.2">
      <c r="A18103" t="str">
        <f>"YLPM1"</f>
        <v>YLPM1</v>
      </c>
      <c r="B18103" t="s">
        <v>3</v>
      </c>
    </row>
    <row r="18104" spans="1:2" x14ac:dyDescent="0.2">
      <c r="A18104" t="str">
        <f>"YME1L1"</f>
        <v>YME1L1</v>
      </c>
      <c r="B18104" t="s">
        <v>2</v>
      </c>
    </row>
    <row r="18105" spans="1:2" x14ac:dyDescent="0.2">
      <c r="A18105" t="str">
        <f>"YOD1"</f>
        <v>YOD1</v>
      </c>
      <c r="B18105" t="s">
        <v>2</v>
      </c>
    </row>
    <row r="18106" spans="1:2" x14ac:dyDescent="0.2">
      <c r="A18106" t="str">
        <f>"YPEL1"</f>
        <v>YPEL1</v>
      </c>
      <c r="B18106" t="s">
        <v>4</v>
      </c>
    </row>
    <row r="18107" spans="1:2" x14ac:dyDescent="0.2">
      <c r="A18107" t="str">
        <f>"YPEL2"</f>
        <v>YPEL2</v>
      </c>
      <c r="B18107" t="s">
        <v>4</v>
      </c>
    </row>
    <row r="18108" spans="1:2" x14ac:dyDescent="0.2">
      <c r="A18108" t="str">
        <f>"YPEL3"</f>
        <v>YPEL3</v>
      </c>
      <c r="B18108" t="s">
        <v>4</v>
      </c>
    </row>
    <row r="18109" spans="1:2" x14ac:dyDescent="0.2">
      <c r="A18109" t="str">
        <f>"YPEL4"</f>
        <v>YPEL4</v>
      </c>
      <c r="B18109" t="s">
        <v>4</v>
      </c>
    </row>
    <row r="18110" spans="1:2" x14ac:dyDescent="0.2">
      <c r="A18110" t="str">
        <f>"YPEL5"</f>
        <v>YPEL5</v>
      </c>
      <c r="B18110" t="s">
        <v>4</v>
      </c>
    </row>
    <row r="18111" spans="1:2" x14ac:dyDescent="0.2">
      <c r="A18111" t="str">
        <f>"YRDC"</f>
        <v>YRDC</v>
      </c>
      <c r="B18111" t="s">
        <v>6</v>
      </c>
    </row>
    <row r="18112" spans="1:2" x14ac:dyDescent="0.2">
      <c r="A18112" t="str">
        <f>"YTHDC1"</f>
        <v>YTHDC1</v>
      </c>
      <c r="B18112" t="s">
        <v>8</v>
      </c>
    </row>
    <row r="18113" spans="1:2" x14ac:dyDescent="0.2">
      <c r="A18113" t="str">
        <f>"YTHDC2"</f>
        <v>YTHDC2</v>
      </c>
      <c r="B18113" t="s">
        <v>8</v>
      </c>
    </row>
    <row r="18114" spans="1:2" x14ac:dyDescent="0.2">
      <c r="A18114" t="str">
        <f>"YTHDF1"</f>
        <v>YTHDF1</v>
      </c>
      <c r="B18114" t="s">
        <v>4</v>
      </c>
    </row>
    <row r="18115" spans="1:2" x14ac:dyDescent="0.2">
      <c r="A18115" t="str">
        <f>"YTHDF2"</f>
        <v>YTHDF2</v>
      </c>
      <c r="B18115" t="s">
        <v>4</v>
      </c>
    </row>
    <row r="18116" spans="1:2" x14ac:dyDescent="0.2">
      <c r="A18116" t="str">
        <f>"YTHDF3"</f>
        <v>YTHDF3</v>
      </c>
      <c r="B18116" t="s">
        <v>4</v>
      </c>
    </row>
    <row r="18117" spans="1:2" x14ac:dyDescent="0.2">
      <c r="A18117" t="str">
        <f>"YWHAB"</f>
        <v>YWHAB</v>
      </c>
      <c r="B18117" t="s">
        <v>6</v>
      </c>
    </row>
    <row r="18118" spans="1:2" x14ac:dyDescent="0.2">
      <c r="A18118" t="str">
        <f>"YWHAE"</f>
        <v>YWHAE</v>
      </c>
      <c r="B18118" t="s">
        <v>3</v>
      </c>
    </row>
    <row r="18119" spans="1:2" x14ac:dyDescent="0.2">
      <c r="A18119" t="str">
        <f>"YWHAG"</f>
        <v>YWHAG</v>
      </c>
      <c r="B18119" t="s">
        <v>6</v>
      </c>
    </row>
    <row r="18120" spans="1:2" x14ac:dyDescent="0.2">
      <c r="A18120" t="str">
        <f>"YWHAH"</f>
        <v>YWHAH</v>
      </c>
      <c r="B18120" t="s">
        <v>3</v>
      </c>
    </row>
    <row r="18121" spans="1:2" x14ac:dyDescent="0.2">
      <c r="A18121" t="str">
        <f>"YWHAQ"</f>
        <v>YWHAQ</v>
      </c>
      <c r="B18121" t="s">
        <v>3</v>
      </c>
    </row>
    <row r="18122" spans="1:2" x14ac:dyDescent="0.2">
      <c r="A18122" t="str">
        <f>"YWHAZ"</f>
        <v>YWHAZ</v>
      </c>
      <c r="B18122" t="s">
        <v>3</v>
      </c>
    </row>
    <row r="18123" spans="1:2" x14ac:dyDescent="0.2">
      <c r="A18123" t="str">
        <f>"YY1"</f>
        <v>YY1</v>
      </c>
      <c r="B18123" t="s">
        <v>8</v>
      </c>
    </row>
    <row r="18124" spans="1:2" x14ac:dyDescent="0.2">
      <c r="A18124" t="str">
        <f>"YY1AP1"</f>
        <v>YY1AP1</v>
      </c>
      <c r="B18124" t="s">
        <v>4</v>
      </c>
    </row>
    <row r="18125" spans="1:2" x14ac:dyDescent="0.2">
      <c r="A18125" t="str">
        <f>"YY2"</f>
        <v>YY2</v>
      </c>
      <c r="B18125" t="s">
        <v>8</v>
      </c>
    </row>
    <row r="18126" spans="1:2" x14ac:dyDescent="0.2">
      <c r="A18126" t="str">
        <f>"ZACN"</f>
        <v>ZACN</v>
      </c>
      <c r="B18126" t="s">
        <v>5</v>
      </c>
    </row>
    <row r="18127" spans="1:2" x14ac:dyDescent="0.2">
      <c r="A18127" t="str">
        <f>"ZADH2"</f>
        <v>ZADH2</v>
      </c>
      <c r="B18127" t="s">
        <v>6</v>
      </c>
    </row>
    <row r="18128" spans="1:2" x14ac:dyDescent="0.2">
      <c r="A18128" t="str">
        <f>"ZAK"</f>
        <v>ZAK</v>
      </c>
      <c r="B18128" t="s">
        <v>7</v>
      </c>
    </row>
    <row r="18129" spans="1:2" x14ac:dyDescent="0.2">
      <c r="A18129" t="str">
        <f>"ZAN"</f>
        <v>ZAN</v>
      </c>
      <c r="B18129" t="s">
        <v>5</v>
      </c>
    </row>
    <row r="18130" spans="1:2" x14ac:dyDescent="0.2">
      <c r="A18130" t="str">
        <f>"ZAP70"</f>
        <v>ZAP70</v>
      </c>
      <c r="B18130" t="s">
        <v>7</v>
      </c>
    </row>
    <row r="18131" spans="1:2" x14ac:dyDescent="0.2">
      <c r="A18131" t="str">
        <f>"ZAR1"</f>
        <v>ZAR1</v>
      </c>
      <c r="B18131" t="s">
        <v>4</v>
      </c>
    </row>
    <row r="18132" spans="1:2" x14ac:dyDescent="0.2">
      <c r="A18132" t="str">
        <f>"ZAR1L"</f>
        <v>ZAR1L</v>
      </c>
      <c r="B18132" t="s">
        <v>4</v>
      </c>
    </row>
    <row r="18133" spans="1:2" x14ac:dyDescent="0.2">
      <c r="A18133" t="str">
        <f>"ZBBX"</f>
        <v>ZBBX</v>
      </c>
      <c r="B18133" t="s">
        <v>4</v>
      </c>
    </row>
    <row r="18134" spans="1:2" x14ac:dyDescent="0.2">
      <c r="A18134" t="str">
        <f>"ZBED1"</f>
        <v>ZBED1</v>
      </c>
      <c r="B18134" t="s">
        <v>8</v>
      </c>
    </row>
    <row r="18135" spans="1:2" x14ac:dyDescent="0.2">
      <c r="A18135" t="str">
        <f>"ZBED2"</f>
        <v>ZBED2</v>
      </c>
      <c r="B18135" t="s">
        <v>8</v>
      </c>
    </row>
    <row r="18136" spans="1:2" x14ac:dyDescent="0.2">
      <c r="A18136" t="str">
        <f>"ZBED3"</f>
        <v>ZBED3</v>
      </c>
      <c r="B18136" t="s">
        <v>8</v>
      </c>
    </row>
    <row r="18137" spans="1:2" x14ac:dyDescent="0.2">
      <c r="A18137" t="str">
        <f>"ZBED4"</f>
        <v>ZBED4</v>
      </c>
      <c r="B18137" t="s">
        <v>8</v>
      </c>
    </row>
    <row r="18138" spans="1:2" x14ac:dyDescent="0.2">
      <c r="A18138" t="str">
        <f>"ZBED5"</f>
        <v>ZBED5</v>
      </c>
      <c r="B18138" t="s">
        <v>6</v>
      </c>
    </row>
    <row r="18139" spans="1:2" x14ac:dyDescent="0.2">
      <c r="A18139" t="str">
        <f>"ZBED6"</f>
        <v>ZBED6</v>
      </c>
      <c r="B18139" t="s">
        <v>4</v>
      </c>
    </row>
    <row r="18140" spans="1:2" x14ac:dyDescent="0.2">
      <c r="A18140" t="str">
        <f>"ZBED6CL"</f>
        <v>ZBED6CL</v>
      </c>
      <c r="B18140" t="s">
        <v>4</v>
      </c>
    </row>
    <row r="18141" spans="1:2" x14ac:dyDescent="0.2">
      <c r="A18141" t="str">
        <f>"ZBP1"</f>
        <v>ZBP1</v>
      </c>
      <c r="B18141" t="s">
        <v>8</v>
      </c>
    </row>
    <row r="18142" spans="1:2" x14ac:dyDescent="0.2">
      <c r="A18142" t="str">
        <f>"ZBTB1"</f>
        <v>ZBTB1</v>
      </c>
      <c r="B18142" t="s">
        <v>8</v>
      </c>
    </row>
    <row r="18143" spans="1:2" x14ac:dyDescent="0.2">
      <c r="A18143" t="str">
        <f>"ZBTB10"</f>
        <v>ZBTB10</v>
      </c>
      <c r="B18143" t="s">
        <v>8</v>
      </c>
    </row>
    <row r="18144" spans="1:2" x14ac:dyDescent="0.2">
      <c r="A18144" t="str">
        <f>"ZBTB11"</f>
        <v>ZBTB11</v>
      </c>
      <c r="B18144" t="s">
        <v>8</v>
      </c>
    </row>
    <row r="18145" spans="1:2" x14ac:dyDescent="0.2">
      <c r="A18145" t="str">
        <f>"ZBTB12"</f>
        <v>ZBTB12</v>
      </c>
      <c r="B18145" t="s">
        <v>8</v>
      </c>
    </row>
    <row r="18146" spans="1:2" x14ac:dyDescent="0.2">
      <c r="A18146" t="str">
        <f>"ZBTB14"</f>
        <v>ZBTB14</v>
      </c>
      <c r="B18146" t="s">
        <v>8</v>
      </c>
    </row>
    <row r="18147" spans="1:2" x14ac:dyDescent="0.2">
      <c r="A18147" t="str">
        <f>"ZBTB16"</f>
        <v>ZBTB16</v>
      </c>
      <c r="B18147" t="s">
        <v>3</v>
      </c>
    </row>
    <row r="18148" spans="1:2" x14ac:dyDescent="0.2">
      <c r="A18148" t="str">
        <f>"ZBTB17"</f>
        <v>ZBTB17</v>
      </c>
      <c r="B18148" t="s">
        <v>3</v>
      </c>
    </row>
    <row r="18149" spans="1:2" x14ac:dyDescent="0.2">
      <c r="A18149" t="str">
        <f>"ZBTB18"</f>
        <v>ZBTB18</v>
      </c>
      <c r="B18149" t="s">
        <v>8</v>
      </c>
    </row>
    <row r="18150" spans="1:2" x14ac:dyDescent="0.2">
      <c r="A18150" t="str">
        <f>"ZBTB2"</f>
        <v>ZBTB2</v>
      </c>
      <c r="B18150" t="s">
        <v>8</v>
      </c>
    </row>
    <row r="18151" spans="1:2" x14ac:dyDescent="0.2">
      <c r="A18151" t="str">
        <f>"ZBTB20"</f>
        <v>ZBTB20</v>
      </c>
      <c r="B18151" t="s">
        <v>8</v>
      </c>
    </row>
    <row r="18152" spans="1:2" x14ac:dyDescent="0.2">
      <c r="A18152" t="str">
        <f>"ZBTB21"</f>
        <v>ZBTB21</v>
      </c>
      <c r="B18152" t="s">
        <v>8</v>
      </c>
    </row>
    <row r="18153" spans="1:2" x14ac:dyDescent="0.2">
      <c r="A18153" t="str">
        <f>"ZBTB22"</f>
        <v>ZBTB22</v>
      </c>
      <c r="B18153" t="s">
        <v>8</v>
      </c>
    </row>
    <row r="18154" spans="1:2" x14ac:dyDescent="0.2">
      <c r="A18154" t="str">
        <f>"ZBTB24"</f>
        <v>ZBTB24</v>
      </c>
      <c r="B18154" t="s">
        <v>8</v>
      </c>
    </row>
    <row r="18155" spans="1:2" x14ac:dyDescent="0.2">
      <c r="A18155" t="str">
        <f>"ZBTB25"</f>
        <v>ZBTB25</v>
      </c>
      <c r="B18155" t="s">
        <v>8</v>
      </c>
    </row>
    <row r="18156" spans="1:2" x14ac:dyDescent="0.2">
      <c r="A18156" t="str">
        <f>"ZBTB26"</f>
        <v>ZBTB26</v>
      </c>
      <c r="B18156" t="s">
        <v>8</v>
      </c>
    </row>
    <row r="18157" spans="1:2" x14ac:dyDescent="0.2">
      <c r="A18157" t="str">
        <f>"ZBTB3"</f>
        <v>ZBTB3</v>
      </c>
      <c r="B18157" t="s">
        <v>6</v>
      </c>
    </row>
    <row r="18158" spans="1:2" x14ac:dyDescent="0.2">
      <c r="A18158" t="str">
        <f>"ZBTB32"</f>
        <v>ZBTB32</v>
      </c>
      <c r="B18158" t="s">
        <v>8</v>
      </c>
    </row>
    <row r="18159" spans="1:2" x14ac:dyDescent="0.2">
      <c r="A18159" t="str">
        <f>"ZBTB33"</f>
        <v>ZBTB33</v>
      </c>
      <c r="B18159" t="s">
        <v>8</v>
      </c>
    </row>
    <row r="18160" spans="1:2" x14ac:dyDescent="0.2">
      <c r="A18160" t="str">
        <f>"ZBTB34"</f>
        <v>ZBTB34</v>
      </c>
      <c r="B18160" t="s">
        <v>8</v>
      </c>
    </row>
    <row r="18161" spans="1:2" x14ac:dyDescent="0.2">
      <c r="A18161" t="str">
        <f>"ZBTB37"</f>
        <v>ZBTB37</v>
      </c>
      <c r="B18161" t="s">
        <v>8</v>
      </c>
    </row>
    <row r="18162" spans="1:2" x14ac:dyDescent="0.2">
      <c r="A18162" t="str">
        <f>"ZBTB38"</f>
        <v>ZBTB38</v>
      </c>
      <c r="B18162" t="s">
        <v>8</v>
      </c>
    </row>
    <row r="18163" spans="1:2" x14ac:dyDescent="0.2">
      <c r="A18163" t="str">
        <f>"ZBTB39"</f>
        <v>ZBTB39</v>
      </c>
      <c r="B18163" t="s">
        <v>8</v>
      </c>
    </row>
    <row r="18164" spans="1:2" x14ac:dyDescent="0.2">
      <c r="A18164" t="str">
        <f>"ZBTB4"</f>
        <v>ZBTB4</v>
      </c>
      <c r="B18164" t="s">
        <v>8</v>
      </c>
    </row>
    <row r="18165" spans="1:2" x14ac:dyDescent="0.2">
      <c r="A18165" t="str">
        <f>"ZBTB40"</f>
        <v>ZBTB40</v>
      </c>
      <c r="B18165" t="s">
        <v>2</v>
      </c>
    </row>
    <row r="18166" spans="1:2" x14ac:dyDescent="0.2">
      <c r="A18166" t="str">
        <f>"ZBTB41"</f>
        <v>ZBTB41</v>
      </c>
      <c r="B18166" t="s">
        <v>8</v>
      </c>
    </row>
    <row r="18167" spans="1:2" x14ac:dyDescent="0.2">
      <c r="A18167" t="str">
        <f>"ZBTB42"</f>
        <v>ZBTB42</v>
      </c>
      <c r="B18167" t="s">
        <v>4</v>
      </c>
    </row>
    <row r="18168" spans="1:2" x14ac:dyDescent="0.2">
      <c r="A18168" t="str">
        <f>"ZBTB43"</f>
        <v>ZBTB43</v>
      </c>
      <c r="B18168" t="s">
        <v>8</v>
      </c>
    </row>
    <row r="18169" spans="1:2" x14ac:dyDescent="0.2">
      <c r="A18169" t="str">
        <f>"ZBTB44"</f>
        <v>ZBTB44</v>
      </c>
      <c r="B18169" t="s">
        <v>8</v>
      </c>
    </row>
    <row r="18170" spans="1:2" x14ac:dyDescent="0.2">
      <c r="A18170" t="str">
        <f>"ZBTB45"</f>
        <v>ZBTB45</v>
      </c>
      <c r="B18170" t="s">
        <v>8</v>
      </c>
    </row>
    <row r="18171" spans="1:2" x14ac:dyDescent="0.2">
      <c r="A18171" t="str">
        <f>"ZBTB46"</f>
        <v>ZBTB46</v>
      </c>
      <c r="B18171" t="s">
        <v>8</v>
      </c>
    </row>
    <row r="18172" spans="1:2" x14ac:dyDescent="0.2">
      <c r="A18172" t="str">
        <f>"ZBTB47"</f>
        <v>ZBTB47</v>
      </c>
      <c r="B18172" t="s">
        <v>8</v>
      </c>
    </row>
    <row r="18173" spans="1:2" x14ac:dyDescent="0.2">
      <c r="A18173" t="str">
        <f>"ZBTB48"</f>
        <v>ZBTB48</v>
      </c>
      <c r="B18173" t="s">
        <v>8</v>
      </c>
    </row>
    <row r="18174" spans="1:2" x14ac:dyDescent="0.2">
      <c r="A18174" t="str">
        <f>"ZBTB49"</f>
        <v>ZBTB49</v>
      </c>
      <c r="B18174" t="s">
        <v>8</v>
      </c>
    </row>
    <row r="18175" spans="1:2" x14ac:dyDescent="0.2">
      <c r="A18175" t="str">
        <f>"ZBTB5"</f>
        <v>ZBTB5</v>
      </c>
      <c r="B18175" t="s">
        <v>2</v>
      </c>
    </row>
    <row r="18176" spans="1:2" x14ac:dyDescent="0.2">
      <c r="A18176" t="str">
        <f>"ZBTB6"</f>
        <v>ZBTB6</v>
      </c>
      <c r="B18176" t="s">
        <v>8</v>
      </c>
    </row>
    <row r="18177" spans="1:2" x14ac:dyDescent="0.2">
      <c r="A18177" t="str">
        <f>"ZBTB7A"</f>
        <v>ZBTB7A</v>
      </c>
      <c r="B18177" t="s">
        <v>8</v>
      </c>
    </row>
    <row r="18178" spans="1:2" x14ac:dyDescent="0.2">
      <c r="A18178" t="str">
        <f>"ZBTB7B"</f>
        <v>ZBTB7B</v>
      </c>
      <c r="B18178" t="s">
        <v>8</v>
      </c>
    </row>
    <row r="18179" spans="1:2" x14ac:dyDescent="0.2">
      <c r="A18179" t="str">
        <f>"ZBTB7C"</f>
        <v>ZBTB7C</v>
      </c>
      <c r="B18179" t="s">
        <v>8</v>
      </c>
    </row>
    <row r="18180" spans="1:2" x14ac:dyDescent="0.2">
      <c r="A18180" t="str">
        <f>"ZBTB8A"</f>
        <v>ZBTB8A</v>
      </c>
      <c r="B18180" t="s">
        <v>4</v>
      </c>
    </row>
    <row r="18181" spans="1:2" x14ac:dyDescent="0.2">
      <c r="A18181" t="str">
        <f>"ZBTB8B"</f>
        <v>ZBTB8B</v>
      </c>
      <c r="B18181" t="s">
        <v>8</v>
      </c>
    </row>
    <row r="18182" spans="1:2" x14ac:dyDescent="0.2">
      <c r="A18182" t="str">
        <f>"ZBTB8OS"</f>
        <v>ZBTB8OS</v>
      </c>
      <c r="B18182" t="s">
        <v>4</v>
      </c>
    </row>
    <row r="18183" spans="1:2" x14ac:dyDescent="0.2">
      <c r="A18183" t="str">
        <f>"ZBTB9"</f>
        <v>ZBTB9</v>
      </c>
      <c r="B18183" t="s">
        <v>6</v>
      </c>
    </row>
    <row r="18184" spans="1:2" x14ac:dyDescent="0.2">
      <c r="A18184" t="str">
        <f>"ZC2HC1A"</f>
        <v>ZC2HC1A</v>
      </c>
      <c r="B18184" t="s">
        <v>4</v>
      </c>
    </row>
    <row r="18185" spans="1:2" x14ac:dyDescent="0.2">
      <c r="A18185" t="str">
        <f>"ZC2HC1B"</f>
        <v>ZC2HC1B</v>
      </c>
      <c r="B18185" t="s">
        <v>4</v>
      </c>
    </row>
    <row r="18186" spans="1:2" x14ac:dyDescent="0.2">
      <c r="A18186" t="str">
        <f>"ZC2HC1C"</f>
        <v>ZC2HC1C</v>
      </c>
      <c r="B18186" t="s">
        <v>3</v>
      </c>
    </row>
    <row r="18187" spans="1:2" x14ac:dyDescent="0.2">
      <c r="A18187" t="str">
        <f>"ZC3H10"</f>
        <v>ZC3H10</v>
      </c>
      <c r="B18187" t="s">
        <v>8</v>
      </c>
    </row>
    <row r="18188" spans="1:2" x14ac:dyDescent="0.2">
      <c r="A18188" t="str">
        <f>"ZC3H11A"</f>
        <v>ZC3H11A</v>
      </c>
      <c r="B18188" t="s">
        <v>8</v>
      </c>
    </row>
    <row r="18189" spans="1:2" x14ac:dyDescent="0.2">
      <c r="A18189" t="str">
        <f>"ZC3H12A"</f>
        <v>ZC3H12A</v>
      </c>
      <c r="B18189" t="s">
        <v>4</v>
      </c>
    </row>
    <row r="18190" spans="1:2" x14ac:dyDescent="0.2">
      <c r="A18190" t="str">
        <f>"ZC3H12B"</f>
        <v>ZC3H12B</v>
      </c>
      <c r="B18190" t="s">
        <v>3</v>
      </c>
    </row>
    <row r="18191" spans="1:2" x14ac:dyDescent="0.2">
      <c r="A18191" t="str">
        <f>"ZC3H12C"</f>
        <v>ZC3H12C</v>
      </c>
      <c r="B18191" t="s">
        <v>4</v>
      </c>
    </row>
    <row r="18192" spans="1:2" x14ac:dyDescent="0.2">
      <c r="A18192" t="str">
        <f>"ZC3H12D"</f>
        <v>ZC3H12D</v>
      </c>
      <c r="B18192" t="s">
        <v>4</v>
      </c>
    </row>
    <row r="18193" spans="1:2" x14ac:dyDescent="0.2">
      <c r="A18193" t="str">
        <f>"ZC3H13"</f>
        <v>ZC3H13</v>
      </c>
      <c r="B18193" t="s">
        <v>8</v>
      </c>
    </row>
    <row r="18194" spans="1:2" x14ac:dyDescent="0.2">
      <c r="A18194" t="str">
        <f>"ZC3H14"</f>
        <v>ZC3H14</v>
      </c>
      <c r="B18194" t="s">
        <v>8</v>
      </c>
    </row>
    <row r="18195" spans="1:2" x14ac:dyDescent="0.2">
      <c r="A18195" t="str">
        <f>"ZC3H15"</f>
        <v>ZC3H15</v>
      </c>
      <c r="B18195" t="s">
        <v>6</v>
      </c>
    </row>
    <row r="18196" spans="1:2" x14ac:dyDescent="0.2">
      <c r="A18196" t="str">
        <f>"ZC3H18"</f>
        <v>ZC3H18</v>
      </c>
      <c r="B18196" t="s">
        <v>8</v>
      </c>
    </row>
    <row r="18197" spans="1:2" x14ac:dyDescent="0.2">
      <c r="A18197" t="str">
        <f>"ZC3H3"</f>
        <v>ZC3H3</v>
      </c>
      <c r="B18197" t="s">
        <v>8</v>
      </c>
    </row>
    <row r="18198" spans="1:2" x14ac:dyDescent="0.2">
      <c r="A18198" t="str">
        <f>"ZC3H4"</f>
        <v>ZC3H4</v>
      </c>
      <c r="B18198" t="s">
        <v>8</v>
      </c>
    </row>
    <row r="18199" spans="1:2" x14ac:dyDescent="0.2">
      <c r="A18199" t="str">
        <f>"ZC3H6"</f>
        <v>ZC3H6</v>
      </c>
      <c r="B18199" t="s">
        <v>8</v>
      </c>
    </row>
    <row r="18200" spans="1:2" x14ac:dyDescent="0.2">
      <c r="A18200" t="str">
        <f>"ZC3H7A"</f>
        <v>ZC3H7A</v>
      </c>
      <c r="B18200" t="s">
        <v>2</v>
      </c>
    </row>
    <row r="18201" spans="1:2" x14ac:dyDescent="0.2">
      <c r="A18201" t="str">
        <f>"ZC3H7B"</f>
        <v>ZC3H7B</v>
      </c>
      <c r="B18201" t="s">
        <v>2</v>
      </c>
    </row>
    <row r="18202" spans="1:2" x14ac:dyDescent="0.2">
      <c r="A18202" t="str">
        <f>"ZC3H8"</f>
        <v>ZC3H8</v>
      </c>
      <c r="B18202" t="s">
        <v>8</v>
      </c>
    </row>
    <row r="18203" spans="1:2" x14ac:dyDescent="0.2">
      <c r="A18203" t="str">
        <f>"ZC3HAV1"</f>
        <v>ZC3HAV1</v>
      </c>
      <c r="B18203" t="s">
        <v>8</v>
      </c>
    </row>
    <row r="18204" spans="1:2" x14ac:dyDescent="0.2">
      <c r="A18204" t="str">
        <f>"ZC3HAV1L"</f>
        <v>ZC3HAV1L</v>
      </c>
      <c r="B18204" t="s">
        <v>4</v>
      </c>
    </row>
    <row r="18205" spans="1:2" x14ac:dyDescent="0.2">
      <c r="A18205" t="str">
        <f>"ZC3HC1"</f>
        <v>ZC3HC1</v>
      </c>
      <c r="B18205" t="s">
        <v>7</v>
      </c>
    </row>
    <row r="18206" spans="1:2" x14ac:dyDescent="0.2">
      <c r="A18206" t="str">
        <f>"ZC4H2"</f>
        <v>ZC4H2</v>
      </c>
      <c r="B18206" t="s">
        <v>4</v>
      </c>
    </row>
    <row r="18207" spans="1:2" x14ac:dyDescent="0.2">
      <c r="A18207" t="str">
        <f>"ZCCHC10"</f>
        <v>ZCCHC10</v>
      </c>
      <c r="B18207" t="s">
        <v>4</v>
      </c>
    </row>
    <row r="18208" spans="1:2" x14ac:dyDescent="0.2">
      <c r="A18208" t="str">
        <f>"ZCCHC11"</f>
        <v>ZCCHC11</v>
      </c>
      <c r="B18208" t="s">
        <v>8</v>
      </c>
    </row>
    <row r="18209" spans="1:2" x14ac:dyDescent="0.2">
      <c r="A18209" t="str">
        <f>"ZCCHC12"</f>
        <v>ZCCHC12</v>
      </c>
      <c r="B18209" t="s">
        <v>4</v>
      </c>
    </row>
    <row r="18210" spans="1:2" x14ac:dyDescent="0.2">
      <c r="A18210" t="str">
        <f>"ZCCHC13"</f>
        <v>ZCCHC13</v>
      </c>
      <c r="B18210" t="s">
        <v>8</v>
      </c>
    </row>
    <row r="18211" spans="1:2" x14ac:dyDescent="0.2">
      <c r="A18211" t="str">
        <f>"ZCCHC14"</f>
        <v>ZCCHC14</v>
      </c>
      <c r="B18211" t="s">
        <v>4</v>
      </c>
    </row>
    <row r="18212" spans="1:2" x14ac:dyDescent="0.2">
      <c r="A18212" t="str">
        <f>"ZCCHC16"</f>
        <v>ZCCHC16</v>
      </c>
      <c r="B18212" t="s">
        <v>4</v>
      </c>
    </row>
    <row r="18213" spans="1:2" x14ac:dyDescent="0.2">
      <c r="A18213" t="str">
        <f>"ZCCHC17"</f>
        <v>ZCCHC17</v>
      </c>
      <c r="B18213" t="s">
        <v>8</v>
      </c>
    </row>
    <row r="18214" spans="1:2" x14ac:dyDescent="0.2">
      <c r="A18214" t="str">
        <f>"ZCCHC18"</f>
        <v>ZCCHC18</v>
      </c>
      <c r="B18214" t="s">
        <v>4</v>
      </c>
    </row>
    <row r="18215" spans="1:2" x14ac:dyDescent="0.2">
      <c r="A18215" t="str">
        <f>"ZCCHC2"</f>
        <v>ZCCHC2</v>
      </c>
      <c r="B18215" t="s">
        <v>5</v>
      </c>
    </row>
    <row r="18216" spans="1:2" x14ac:dyDescent="0.2">
      <c r="A18216" t="str">
        <f>"ZCCHC24"</f>
        <v>ZCCHC24</v>
      </c>
      <c r="B18216" t="s">
        <v>4</v>
      </c>
    </row>
    <row r="18217" spans="1:2" x14ac:dyDescent="0.2">
      <c r="A18217" t="str">
        <f>"ZCCHC3"</f>
        <v>ZCCHC3</v>
      </c>
      <c r="B18217" t="s">
        <v>3</v>
      </c>
    </row>
    <row r="18218" spans="1:2" x14ac:dyDescent="0.2">
      <c r="A18218" t="str">
        <f>"ZCCHC4"</f>
        <v>ZCCHC4</v>
      </c>
      <c r="B18218" t="s">
        <v>6</v>
      </c>
    </row>
    <row r="18219" spans="1:2" x14ac:dyDescent="0.2">
      <c r="A18219" t="str">
        <f>"ZCCHC5"</f>
        <v>ZCCHC5</v>
      </c>
      <c r="B18219" t="s">
        <v>4</v>
      </c>
    </row>
    <row r="18220" spans="1:2" x14ac:dyDescent="0.2">
      <c r="A18220" t="str">
        <f>"ZCCHC6"</f>
        <v>ZCCHC6</v>
      </c>
      <c r="B18220" t="s">
        <v>6</v>
      </c>
    </row>
    <row r="18221" spans="1:2" x14ac:dyDescent="0.2">
      <c r="A18221" t="str">
        <f>"ZCCHC7"</f>
        <v>ZCCHC7</v>
      </c>
      <c r="B18221" t="s">
        <v>2</v>
      </c>
    </row>
    <row r="18222" spans="1:2" x14ac:dyDescent="0.2">
      <c r="A18222" t="str">
        <f>"ZCCHC8"</f>
        <v>ZCCHC8</v>
      </c>
      <c r="B18222" t="s">
        <v>8</v>
      </c>
    </row>
    <row r="18223" spans="1:2" x14ac:dyDescent="0.2">
      <c r="A18223" t="str">
        <f>"ZCCHC9"</f>
        <v>ZCCHC9</v>
      </c>
      <c r="B18223" t="s">
        <v>8</v>
      </c>
    </row>
    <row r="18224" spans="1:2" x14ac:dyDescent="0.2">
      <c r="A18224" t="str">
        <f>"ZCRB1"</f>
        <v>ZCRB1</v>
      </c>
      <c r="B18224" t="s">
        <v>8</v>
      </c>
    </row>
    <row r="18225" spans="1:2" x14ac:dyDescent="0.2">
      <c r="A18225" t="str">
        <f>"ZCWPW1"</f>
        <v>ZCWPW1</v>
      </c>
      <c r="B18225" t="s">
        <v>2</v>
      </c>
    </row>
    <row r="18226" spans="1:2" x14ac:dyDescent="0.2">
      <c r="A18226" t="str">
        <f>"ZCWPW2"</f>
        <v>ZCWPW2</v>
      </c>
      <c r="B18226" t="s">
        <v>4</v>
      </c>
    </row>
    <row r="18227" spans="1:2" x14ac:dyDescent="0.2">
      <c r="A18227" t="str">
        <f>"ZDBF2"</f>
        <v>ZDBF2</v>
      </c>
      <c r="B18227" t="s">
        <v>4</v>
      </c>
    </row>
    <row r="18228" spans="1:2" x14ac:dyDescent="0.2">
      <c r="A18228" t="str">
        <f>"ZDHHC1"</f>
        <v>ZDHHC1</v>
      </c>
      <c r="B18228" t="s">
        <v>5</v>
      </c>
    </row>
    <row r="18229" spans="1:2" x14ac:dyDescent="0.2">
      <c r="A18229" t="str">
        <f>"ZDHHC11"</f>
        <v>ZDHHC11</v>
      </c>
      <c r="B18229" t="s">
        <v>8</v>
      </c>
    </row>
    <row r="18230" spans="1:2" x14ac:dyDescent="0.2">
      <c r="A18230" t="str">
        <f>"ZDHHC11B"</f>
        <v>ZDHHC11B</v>
      </c>
      <c r="B18230" t="s">
        <v>5</v>
      </c>
    </row>
    <row r="18231" spans="1:2" x14ac:dyDescent="0.2">
      <c r="A18231" t="str">
        <f>"ZDHHC12"</f>
        <v>ZDHHC12</v>
      </c>
      <c r="B18231" t="s">
        <v>5</v>
      </c>
    </row>
    <row r="18232" spans="1:2" x14ac:dyDescent="0.2">
      <c r="A18232" t="str">
        <f>"ZDHHC13"</f>
        <v>ZDHHC13</v>
      </c>
      <c r="B18232" t="s">
        <v>5</v>
      </c>
    </row>
    <row r="18233" spans="1:2" x14ac:dyDescent="0.2">
      <c r="A18233" t="str">
        <f>"ZDHHC14"</f>
        <v>ZDHHC14</v>
      </c>
      <c r="B18233" t="s">
        <v>5</v>
      </c>
    </row>
    <row r="18234" spans="1:2" x14ac:dyDescent="0.2">
      <c r="A18234" t="str">
        <f>"ZDHHC15"</f>
        <v>ZDHHC15</v>
      </c>
      <c r="B18234" t="s">
        <v>2</v>
      </c>
    </row>
    <row r="18235" spans="1:2" x14ac:dyDescent="0.2">
      <c r="A18235" t="str">
        <f>"ZDHHC16"</f>
        <v>ZDHHC16</v>
      </c>
      <c r="B18235" t="s">
        <v>6</v>
      </c>
    </row>
    <row r="18236" spans="1:2" x14ac:dyDescent="0.2">
      <c r="A18236" t="str">
        <f>"ZDHHC17"</f>
        <v>ZDHHC17</v>
      </c>
      <c r="B18236" t="s">
        <v>2</v>
      </c>
    </row>
    <row r="18237" spans="1:2" x14ac:dyDescent="0.2">
      <c r="A18237" t="str">
        <f>"ZDHHC18"</f>
        <v>ZDHHC18</v>
      </c>
      <c r="B18237" t="s">
        <v>5</v>
      </c>
    </row>
    <row r="18238" spans="1:2" x14ac:dyDescent="0.2">
      <c r="A18238" t="str">
        <f>"ZDHHC19"</f>
        <v>ZDHHC19</v>
      </c>
      <c r="B18238" t="s">
        <v>8</v>
      </c>
    </row>
    <row r="18239" spans="1:2" x14ac:dyDescent="0.2">
      <c r="A18239" t="str">
        <f>"ZDHHC2"</f>
        <v>ZDHHC2</v>
      </c>
      <c r="B18239" t="s">
        <v>2</v>
      </c>
    </row>
    <row r="18240" spans="1:2" x14ac:dyDescent="0.2">
      <c r="A18240" t="str">
        <f>"ZDHHC20"</f>
        <v>ZDHHC20</v>
      </c>
      <c r="B18240" t="s">
        <v>5</v>
      </c>
    </row>
    <row r="18241" spans="1:2" x14ac:dyDescent="0.2">
      <c r="A18241" t="str">
        <f>"ZDHHC21"</f>
        <v>ZDHHC21</v>
      </c>
      <c r="B18241" t="s">
        <v>5</v>
      </c>
    </row>
    <row r="18242" spans="1:2" x14ac:dyDescent="0.2">
      <c r="A18242" t="str">
        <f>"ZDHHC22"</f>
        <v>ZDHHC22</v>
      </c>
      <c r="B18242" t="s">
        <v>5</v>
      </c>
    </row>
    <row r="18243" spans="1:2" x14ac:dyDescent="0.2">
      <c r="A18243" t="str">
        <f>"ZDHHC23"</f>
        <v>ZDHHC23</v>
      </c>
      <c r="B18243" t="s">
        <v>5</v>
      </c>
    </row>
    <row r="18244" spans="1:2" x14ac:dyDescent="0.2">
      <c r="A18244" t="str">
        <f>"ZDHHC24"</f>
        <v>ZDHHC24</v>
      </c>
      <c r="B18244" t="s">
        <v>5</v>
      </c>
    </row>
    <row r="18245" spans="1:2" x14ac:dyDescent="0.2">
      <c r="A18245" t="str">
        <f>"ZDHHC3"</f>
        <v>ZDHHC3</v>
      </c>
      <c r="B18245" t="s">
        <v>2</v>
      </c>
    </row>
    <row r="18246" spans="1:2" x14ac:dyDescent="0.2">
      <c r="A18246" t="str">
        <f>"ZDHHC4"</f>
        <v>ZDHHC4</v>
      </c>
      <c r="B18246" t="s">
        <v>6</v>
      </c>
    </row>
    <row r="18247" spans="1:2" x14ac:dyDescent="0.2">
      <c r="A18247" t="str">
        <f>"ZDHHC5"</f>
        <v>ZDHHC5</v>
      </c>
      <c r="B18247" t="s">
        <v>5</v>
      </c>
    </row>
    <row r="18248" spans="1:2" x14ac:dyDescent="0.2">
      <c r="A18248" t="str">
        <f>"ZDHHC6"</f>
        <v>ZDHHC6</v>
      </c>
      <c r="B18248" t="s">
        <v>5</v>
      </c>
    </row>
    <row r="18249" spans="1:2" x14ac:dyDescent="0.2">
      <c r="A18249" t="str">
        <f>"ZDHHC7"</f>
        <v>ZDHHC7</v>
      </c>
      <c r="B18249" t="s">
        <v>5</v>
      </c>
    </row>
    <row r="18250" spans="1:2" x14ac:dyDescent="0.2">
      <c r="A18250" t="str">
        <f>"ZDHHC8"</f>
        <v>ZDHHC8</v>
      </c>
      <c r="B18250" t="s">
        <v>2</v>
      </c>
    </row>
    <row r="18251" spans="1:2" x14ac:dyDescent="0.2">
      <c r="A18251" t="str">
        <f>"ZDHHC9"</f>
        <v>ZDHHC9</v>
      </c>
      <c r="B18251" t="s">
        <v>6</v>
      </c>
    </row>
    <row r="18252" spans="1:2" x14ac:dyDescent="0.2">
      <c r="A18252" t="str">
        <f>"ZEB1"</f>
        <v>ZEB1</v>
      </c>
      <c r="B18252" t="s">
        <v>3</v>
      </c>
    </row>
    <row r="18253" spans="1:2" x14ac:dyDescent="0.2">
      <c r="A18253" t="str">
        <f>"ZEB2"</f>
        <v>ZEB2</v>
      </c>
      <c r="B18253" t="s">
        <v>3</v>
      </c>
    </row>
    <row r="18254" spans="1:2" x14ac:dyDescent="0.2">
      <c r="A18254" t="str">
        <f>"ZER1"</f>
        <v>ZER1</v>
      </c>
      <c r="B18254" t="s">
        <v>2</v>
      </c>
    </row>
    <row r="18255" spans="1:2" x14ac:dyDescent="0.2">
      <c r="A18255" t="str">
        <f>"ZFAND1"</f>
        <v>ZFAND1</v>
      </c>
      <c r="B18255" t="s">
        <v>4</v>
      </c>
    </row>
    <row r="18256" spans="1:2" x14ac:dyDescent="0.2">
      <c r="A18256" t="str">
        <f>"ZFAND2A"</f>
        <v>ZFAND2A</v>
      </c>
      <c r="B18256" t="s">
        <v>2</v>
      </c>
    </row>
    <row r="18257" spans="1:2" x14ac:dyDescent="0.2">
      <c r="A18257" t="str">
        <f>"ZFAND2B"</f>
        <v>ZFAND2B</v>
      </c>
      <c r="B18257" t="s">
        <v>2</v>
      </c>
    </row>
    <row r="18258" spans="1:2" x14ac:dyDescent="0.2">
      <c r="A18258" t="str">
        <f>"ZFAND3"</f>
        <v>ZFAND3</v>
      </c>
      <c r="B18258" t="s">
        <v>2</v>
      </c>
    </row>
    <row r="18259" spans="1:2" x14ac:dyDescent="0.2">
      <c r="A18259" t="str">
        <f>"ZFAND4"</f>
        <v>ZFAND4</v>
      </c>
      <c r="B18259" t="s">
        <v>2</v>
      </c>
    </row>
    <row r="18260" spans="1:2" x14ac:dyDescent="0.2">
      <c r="A18260" t="str">
        <f>"ZFAND5"</f>
        <v>ZFAND5</v>
      </c>
      <c r="B18260" t="s">
        <v>2</v>
      </c>
    </row>
    <row r="18261" spans="1:2" x14ac:dyDescent="0.2">
      <c r="A18261" t="str">
        <f>"ZFAND6"</f>
        <v>ZFAND6</v>
      </c>
      <c r="B18261" t="s">
        <v>2</v>
      </c>
    </row>
    <row r="18262" spans="1:2" x14ac:dyDescent="0.2">
      <c r="A18262" t="str">
        <f>"ZFAT"</f>
        <v>ZFAT</v>
      </c>
      <c r="B18262" t="s">
        <v>8</v>
      </c>
    </row>
    <row r="18263" spans="1:2" x14ac:dyDescent="0.2">
      <c r="A18263" t="str">
        <f>"ZFC3H1"</f>
        <v>ZFC3H1</v>
      </c>
      <c r="B18263" t="s">
        <v>2</v>
      </c>
    </row>
    <row r="18264" spans="1:2" x14ac:dyDescent="0.2">
      <c r="A18264" t="str">
        <f>"ZFHX2"</f>
        <v>ZFHX2</v>
      </c>
      <c r="B18264" t="s">
        <v>8</v>
      </c>
    </row>
    <row r="18265" spans="1:2" x14ac:dyDescent="0.2">
      <c r="A18265" t="str">
        <f>"ZFHX3"</f>
        <v>ZFHX3</v>
      </c>
      <c r="B18265" t="s">
        <v>3</v>
      </c>
    </row>
    <row r="18266" spans="1:2" x14ac:dyDescent="0.2">
      <c r="A18266" t="str">
        <f>"ZFHX4"</f>
        <v>ZFHX4</v>
      </c>
      <c r="B18266" t="s">
        <v>8</v>
      </c>
    </row>
    <row r="18267" spans="1:2" x14ac:dyDescent="0.2">
      <c r="A18267" t="str">
        <f>"ZFP1"</f>
        <v>ZFP1</v>
      </c>
      <c r="B18267" t="s">
        <v>8</v>
      </c>
    </row>
    <row r="18268" spans="1:2" x14ac:dyDescent="0.2">
      <c r="A18268" t="str">
        <f>"ZFP14"</f>
        <v>ZFP14</v>
      </c>
      <c r="B18268" t="s">
        <v>8</v>
      </c>
    </row>
    <row r="18269" spans="1:2" x14ac:dyDescent="0.2">
      <c r="A18269" t="str">
        <f>"ZFP2"</f>
        <v>ZFP2</v>
      </c>
      <c r="B18269" t="s">
        <v>8</v>
      </c>
    </row>
    <row r="18270" spans="1:2" x14ac:dyDescent="0.2">
      <c r="A18270" t="str">
        <f>"ZFP28"</f>
        <v>ZFP28</v>
      </c>
      <c r="B18270" t="s">
        <v>8</v>
      </c>
    </row>
    <row r="18271" spans="1:2" x14ac:dyDescent="0.2">
      <c r="A18271" t="str">
        <f>"ZFP3"</f>
        <v>ZFP3</v>
      </c>
      <c r="B18271" t="s">
        <v>8</v>
      </c>
    </row>
    <row r="18272" spans="1:2" x14ac:dyDescent="0.2">
      <c r="A18272" t="str">
        <f>"ZFP30"</f>
        <v>ZFP30</v>
      </c>
      <c r="B18272" t="s">
        <v>8</v>
      </c>
    </row>
    <row r="18273" spans="1:2" x14ac:dyDescent="0.2">
      <c r="A18273" t="str">
        <f>"ZFP36"</f>
        <v>ZFP36</v>
      </c>
      <c r="B18273" t="s">
        <v>2</v>
      </c>
    </row>
    <row r="18274" spans="1:2" x14ac:dyDescent="0.2">
      <c r="A18274" t="str">
        <f>"ZFP36L1"</f>
        <v>ZFP36L1</v>
      </c>
      <c r="B18274" t="s">
        <v>8</v>
      </c>
    </row>
    <row r="18275" spans="1:2" x14ac:dyDescent="0.2">
      <c r="A18275" t="str">
        <f>"ZFP36L2"</f>
        <v>ZFP36L2</v>
      </c>
      <c r="B18275" t="s">
        <v>8</v>
      </c>
    </row>
    <row r="18276" spans="1:2" x14ac:dyDescent="0.2">
      <c r="A18276" t="str">
        <f>"ZFP37"</f>
        <v>ZFP37</v>
      </c>
      <c r="B18276" t="s">
        <v>8</v>
      </c>
    </row>
    <row r="18277" spans="1:2" x14ac:dyDescent="0.2">
      <c r="A18277" t="str">
        <f>"ZFP41"</f>
        <v>ZFP41</v>
      </c>
      <c r="B18277" t="s">
        <v>8</v>
      </c>
    </row>
    <row r="18278" spans="1:2" x14ac:dyDescent="0.2">
      <c r="A18278" t="str">
        <f>"ZFP42"</f>
        <v>ZFP42</v>
      </c>
      <c r="B18278" t="s">
        <v>8</v>
      </c>
    </row>
    <row r="18279" spans="1:2" x14ac:dyDescent="0.2">
      <c r="A18279" t="str">
        <f>"ZFP57"</f>
        <v>ZFP57</v>
      </c>
      <c r="B18279" t="s">
        <v>8</v>
      </c>
    </row>
    <row r="18280" spans="1:2" x14ac:dyDescent="0.2">
      <c r="A18280" t="str">
        <f>"ZFP62"</f>
        <v>ZFP62</v>
      </c>
      <c r="B18280" t="s">
        <v>8</v>
      </c>
    </row>
    <row r="18281" spans="1:2" x14ac:dyDescent="0.2">
      <c r="A18281" t="str">
        <f>"ZFP64"</f>
        <v>ZFP64</v>
      </c>
      <c r="B18281" t="s">
        <v>3</v>
      </c>
    </row>
    <row r="18282" spans="1:2" x14ac:dyDescent="0.2">
      <c r="A18282" t="str">
        <f>"ZFP69"</f>
        <v>ZFP69</v>
      </c>
      <c r="B18282" t="s">
        <v>8</v>
      </c>
    </row>
    <row r="18283" spans="1:2" x14ac:dyDescent="0.2">
      <c r="A18283" t="str">
        <f>"ZFP69B"</f>
        <v>ZFP69B</v>
      </c>
      <c r="B18283" t="s">
        <v>2</v>
      </c>
    </row>
    <row r="18284" spans="1:2" x14ac:dyDescent="0.2">
      <c r="A18284" t="str">
        <f>"ZFP82"</f>
        <v>ZFP82</v>
      </c>
      <c r="B18284" t="s">
        <v>8</v>
      </c>
    </row>
    <row r="18285" spans="1:2" x14ac:dyDescent="0.2">
      <c r="A18285" t="str">
        <f>"ZFP90"</f>
        <v>ZFP90</v>
      </c>
      <c r="B18285" t="s">
        <v>8</v>
      </c>
    </row>
    <row r="18286" spans="1:2" x14ac:dyDescent="0.2">
      <c r="A18286" t="str">
        <f>"ZFP91"</f>
        <v>ZFP91</v>
      </c>
      <c r="B18286" t="s">
        <v>8</v>
      </c>
    </row>
    <row r="18287" spans="1:2" x14ac:dyDescent="0.2">
      <c r="A18287" t="str">
        <f>"ZFP92"</f>
        <v>ZFP92</v>
      </c>
      <c r="B18287" t="s">
        <v>8</v>
      </c>
    </row>
    <row r="18288" spans="1:2" x14ac:dyDescent="0.2">
      <c r="A18288" t="str">
        <f>"ZFPL1"</f>
        <v>ZFPL1</v>
      </c>
      <c r="B18288" t="s">
        <v>2</v>
      </c>
    </row>
    <row r="18289" spans="1:2" x14ac:dyDescent="0.2">
      <c r="A18289" t="str">
        <f>"ZFPM1"</f>
        <v>ZFPM1</v>
      </c>
      <c r="B18289" t="s">
        <v>8</v>
      </c>
    </row>
    <row r="18290" spans="1:2" x14ac:dyDescent="0.2">
      <c r="A18290" t="str">
        <f>"ZFPM2"</f>
        <v>ZFPM2</v>
      </c>
      <c r="B18290" t="s">
        <v>3</v>
      </c>
    </row>
    <row r="18291" spans="1:2" x14ac:dyDescent="0.2">
      <c r="A18291" t="str">
        <f>"ZFR"</f>
        <v>ZFR</v>
      </c>
      <c r="B18291" t="s">
        <v>8</v>
      </c>
    </row>
    <row r="18292" spans="1:2" x14ac:dyDescent="0.2">
      <c r="A18292" t="str">
        <f>"ZFR2"</f>
        <v>ZFR2</v>
      </c>
      <c r="B18292" t="s">
        <v>8</v>
      </c>
    </row>
    <row r="18293" spans="1:2" x14ac:dyDescent="0.2">
      <c r="A18293" t="str">
        <f>"ZFX"</f>
        <v>ZFX</v>
      </c>
      <c r="B18293" t="s">
        <v>8</v>
      </c>
    </row>
    <row r="18294" spans="1:2" x14ac:dyDescent="0.2">
      <c r="A18294" t="str">
        <f>"ZFY"</f>
        <v>ZFY</v>
      </c>
      <c r="B18294" t="s">
        <v>7</v>
      </c>
    </row>
    <row r="18295" spans="1:2" x14ac:dyDescent="0.2">
      <c r="A18295" t="str">
        <f>"ZFYVE1"</f>
        <v>ZFYVE1</v>
      </c>
      <c r="B18295" t="s">
        <v>6</v>
      </c>
    </row>
    <row r="18296" spans="1:2" x14ac:dyDescent="0.2">
      <c r="A18296" t="str">
        <f>"ZFYVE16"</f>
        <v>ZFYVE16</v>
      </c>
      <c r="B18296" t="s">
        <v>2</v>
      </c>
    </row>
    <row r="18297" spans="1:2" x14ac:dyDescent="0.2">
      <c r="A18297" t="str">
        <f>"ZFYVE19"</f>
        <v>ZFYVE19</v>
      </c>
      <c r="B18297" t="s">
        <v>3</v>
      </c>
    </row>
    <row r="18298" spans="1:2" x14ac:dyDescent="0.2">
      <c r="A18298" t="str">
        <f>"ZFYVE20"</f>
        <v>ZFYVE20</v>
      </c>
      <c r="B18298" t="s">
        <v>6</v>
      </c>
    </row>
    <row r="18299" spans="1:2" x14ac:dyDescent="0.2">
      <c r="A18299" t="str">
        <f>"ZFYVE21"</f>
        <v>ZFYVE21</v>
      </c>
      <c r="B18299" t="s">
        <v>4</v>
      </c>
    </row>
    <row r="18300" spans="1:2" x14ac:dyDescent="0.2">
      <c r="A18300" t="str">
        <f>"ZFYVE26"</f>
        <v>ZFYVE26</v>
      </c>
      <c r="B18300" t="s">
        <v>3</v>
      </c>
    </row>
    <row r="18301" spans="1:2" x14ac:dyDescent="0.2">
      <c r="A18301" t="str">
        <f>"ZFYVE27"</f>
        <v>ZFYVE27</v>
      </c>
      <c r="B18301" t="s">
        <v>5</v>
      </c>
    </row>
    <row r="18302" spans="1:2" x14ac:dyDescent="0.2">
      <c r="A18302" t="str">
        <f>"ZFYVE28"</f>
        <v>ZFYVE28</v>
      </c>
      <c r="B18302" t="s">
        <v>4</v>
      </c>
    </row>
    <row r="18303" spans="1:2" x14ac:dyDescent="0.2">
      <c r="A18303" t="str">
        <f>"ZFYVE9"</f>
        <v>ZFYVE9</v>
      </c>
      <c r="B18303" t="s">
        <v>3</v>
      </c>
    </row>
    <row r="18304" spans="1:2" x14ac:dyDescent="0.2">
      <c r="A18304" t="str">
        <f>"ZG16"</f>
        <v>ZG16</v>
      </c>
      <c r="B18304" t="s">
        <v>4</v>
      </c>
    </row>
    <row r="18305" spans="1:2" x14ac:dyDescent="0.2">
      <c r="A18305" t="str">
        <f>"ZG16B"</f>
        <v>ZG16B</v>
      </c>
      <c r="B18305" t="s">
        <v>4</v>
      </c>
    </row>
    <row r="18306" spans="1:2" x14ac:dyDescent="0.2">
      <c r="A18306" t="str">
        <f>"ZGLP1"</f>
        <v>ZGLP1</v>
      </c>
      <c r="B18306" t="s">
        <v>8</v>
      </c>
    </row>
    <row r="18307" spans="1:2" x14ac:dyDescent="0.2">
      <c r="A18307" t="str">
        <f>"ZGPAT"</f>
        <v>ZGPAT</v>
      </c>
      <c r="B18307" t="s">
        <v>2</v>
      </c>
    </row>
    <row r="18308" spans="1:2" x14ac:dyDescent="0.2">
      <c r="A18308" t="str">
        <f>"ZHX1"</f>
        <v>ZHX1</v>
      </c>
      <c r="B18308" t="s">
        <v>8</v>
      </c>
    </row>
    <row r="18309" spans="1:2" x14ac:dyDescent="0.2">
      <c r="A18309" t="str">
        <f>"ZHX1-C8ORF76"</f>
        <v>ZHX1-C8ORF76</v>
      </c>
      <c r="B18309" t="s">
        <v>4</v>
      </c>
    </row>
    <row r="18310" spans="1:2" x14ac:dyDescent="0.2">
      <c r="A18310" t="str">
        <f>"ZHX2"</f>
        <v>ZHX2</v>
      </c>
      <c r="B18310" t="s">
        <v>8</v>
      </c>
    </row>
    <row r="18311" spans="1:2" x14ac:dyDescent="0.2">
      <c r="A18311" t="str">
        <f>"ZHX3"</f>
        <v>ZHX3</v>
      </c>
      <c r="B18311" t="s">
        <v>8</v>
      </c>
    </row>
    <row r="18312" spans="1:2" x14ac:dyDescent="0.2">
      <c r="A18312" t="str">
        <f>"ZIC1"</f>
        <v>ZIC1</v>
      </c>
      <c r="B18312" t="s">
        <v>8</v>
      </c>
    </row>
    <row r="18313" spans="1:2" x14ac:dyDescent="0.2">
      <c r="A18313" t="str">
        <f>"ZIC2"</f>
        <v>ZIC2</v>
      </c>
      <c r="B18313" t="s">
        <v>3</v>
      </c>
    </row>
    <row r="18314" spans="1:2" x14ac:dyDescent="0.2">
      <c r="A18314" t="str">
        <f>"ZIC3"</f>
        <v>ZIC3</v>
      </c>
      <c r="B18314" t="s">
        <v>2</v>
      </c>
    </row>
    <row r="18315" spans="1:2" x14ac:dyDescent="0.2">
      <c r="A18315" t="str">
        <f>"ZIC4"</f>
        <v>ZIC4</v>
      </c>
      <c r="B18315" t="s">
        <v>8</v>
      </c>
    </row>
    <row r="18316" spans="1:2" x14ac:dyDescent="0.2">
      <c r="A18316" t="str">
        <f>"ZIC5"</f>
        <v>ZIC5</v>
      </c>
      <c r="B18316" t="s">
        <v>8</v>
      </c>
    </row>
    <row r="18317" spans="1:2" x14ac:dyDescent="0.2">
      <c r="A18317" t="str">
        <f>"ZIK1"</f>
        <v>ZIK1</v>
      </c>
      <c r="B18317" t="s">
        <v>8</v>
      </c>
    </row>
    <row r="18318" spans="1:2" x14ac:dyDescent="0.2">
      <c r="A18318" t="str">
        <f>"ZIM2"</f>
        <v>ZIM2</v>
      </c>
      <c r="B18318" t="s">
        <v>8</v>
      </c>
    </row>
    <row r="18319" spans="1:2" x14ac:dyDescent="0.2">
      <c r="A18319" t="str">
        <f>"ZIM3"</f>
        <v>ZIM3</v>
      </c>
      <c r="B18319" t="s">
        <v>8</v>
      </c>
    </row>
    <row r="18320" spans="1:2" x14ac:dyDescent="0.2">
      <c r="A18320" t="str">
        <f>"ZKSCAN1"</f>
        <v>ZKSCAN1</v>
      </c>
      <c r="B18320" t="s">
        <v>6</v>
      </c>
    </row>
    <row r="18321" spans="1:2" x14ac:dyDescent="0.2">
      <c r="A18321" t="str">
        <f>"ZKSCAN2"</f>
        <v>ZKSCAN2</v>
      </c>
      <c r="B18321" t="s">
        <v>8</v>
      </c>
    </row>
    <row r="18322" spans="1:2" x14ac:dyDescent="0.2">
      <c r="A18322" t="str">
        <f>"ZKSCAN3"</f>
        <v>ZKSCAN3</v>
      </c>
      <c r="B18322" t="s">
        <v>8</v>
      </c>
    </row>
    <row r="18323" spans="1:2" x14ac:dyDescent="0.2">
      <c r="A18323" t="str">
        <f>"ZKSCAN4"</f>
        <v>ZKSCAN4</v>
      </c>
      <c r="B18323" t="s">
        <v>8</v>
      </c>
    </row>
    <row r="18324" spans="1:2" x14ac:dyDescent="0.2">
      <c r="A18324" t="str">
        <f>"ZKSCAN5"</f>
        <v>ZKSCAN5</v>
      </c>
      <c r="B18324" t="s">
        <v>8</v>
      </c>
    </row>
    <row r="18325" spans="1:2" x14ac:dyDescent="0.2">
      <c r="A18325" t="str">
        <f>"ZKSCAN7"</f>
        <v>ZKSCAN7</v>
      </c>
      <c r="B18325" t="s">
        <v>8</v>
      </c>
    </row>
    <row r="18326" spans="1:2" x14ac:dyDescent="0.2">
      <c r="A18326" t="str">
        <f>"ZKSCAN8"</f>
        <v>ZKSCAN8</v>
      </c>
      <c r="B18326" t="s">
        <v>8</v>
      </c>
    </row>
    <row r="18327" spans="1:2" x14ac:dyDescent="0.2">
      <c r="A18327" t="str">
        <f>"ZMAT1"</f>
        <v>ZMAT1</v>
      </c>
      <c r="B18327" t="s">
        <v>8</v>
      </c>
    </row>
    <row r="18328" spans="1:2" x14ac:dyDescent="0.2">
      <c r="A18328" t="str">
        <f>"ZMAT2"</f>
        <v>ZMAT2</v>
      </c>
      <c r="B18328" t="s">
        <v>8</v>
      </c>
    </row>
    <row r="18329" spans="1:2" x14ac:dyDescent="0.2">
      <c r="A18329" t="str">
        <f>"ZMAT3"</f>
        <v>ZMAT3</v>
      </c>
      <c r="B18329" t="s">
        <v>3</v>
      </c>
    </row>
    <row r="18330" spans="1:2" x14ac:dyDescent="0.2">
      <c r="A18330" t="str">
        <f>"ZMAT4"</f>
        <v>ZMAT4</v>
      </c>
      <c r="B18330" t="s">
        <v>8</v>
      </c>
    </row>
    <row r="18331" spans="1:2" x14ac:dyDescent="0.2">
      <c r="A18331" t="str">
        <f>"ZMAT5"</f>
        <v>ZMAT5</v>
      </c>
      <c r="B18331" t="s">
        <v>8</v>
      </c>
    </row>
    <row r="18332" spans="1:2" x14ac:dyDescent="0.2">
      <c r="A18332" t="str">
        <f>"ZMIZ1"</f>
        <v>ZMIZ1</v>
      </c>
      <c r="B18332" t="s">
        <v>8</v>
      </c>
    </row>
    <row r="18333" spans="1:2" x14ac:dyDescent="0.2">
      <c r="A18333" t="str">
        <f>"ZMIZ2"</f>
        <v>ZMIZ2</v>
      </c>
      <c r="B18333" t="s">
        <v>6</v>
      </c>
    </row>
    <row r="18334" spans="1:2" x14ac:dyDescent="0.2">
      <c r="A18334" t="str">
        <f>"ZMPSTE24"</f>
        <v>ZMPSTE24</v>
      </c>
      <c r="B18334" t="s">
        <v>2</v>
      </c>
    </row>
    <row r="18335" spans="1:2" x14ac:dyDescent="0.2">
      <c r="A18335" t="str">
        <f>"ZMYM1"</f>
        <v>ZMYM1</v>
      </c>
      <c r="B18335" t="s">
        <v>4</v>
      </c>
    </row>
    <row r="18336" spans="1:2" x14ac:dyDescent="0.2">
      <c r="A18336" t="str">
        <f>"ZMYM2"</f>
        <v>ZMYM2</v>
      </c>
      <c r="B18336" t="s">
        <v>3</v>
      </c>
    </row>
    <row r="18337" spans="1:2" x14ac:dyDescent="0.2">
      <c r="A18337" t="str">
        <f>"ZMYM3"</f>
        <v>ZMYM3</v>
      </c>
      <c r="B18337" t="s">
        <v>3</v>
      </c>
    </row>
    <row r="18338" spans="1:2" x14ac:dyDescent="0.2">
      <c r="A18338" t="str">
        <f>"ZMYM4"</f>
        <v>ZMYM4</v>
      </c>
      <c r="B18338" t="s">
        <v>8</v>
      </c>
    </row>
    <row r="18339" spans="1:2" x14ac:dyDescent="0.2">
      <c r="A18339" t="str">
        <f>"ZMYM5"</f>
        <v>ZMYM5</v>
      </c>
      <c r="B18339" t="s">
        <v>5</v>
      </c>
    </row>
    <row r="18340" spans="1:2" x14ac:dyDescent="0.2">
      <c r="A18340" t="str">
        <f>"ZMYM6"</f>
        <v>ZMYM6</v>
      </c>
      <c r="B18340" t="s">
        <v>8</v>
      </c>
    </row>
    <row r="18341" spans="1:2" x14ac:dyDescent="0.2">
      <c r="A18341" t="str">
        <f>"ZMYM6NB"</f>
        <v>ZMYM6NB</v>
      </c>
      <c r="B18341" t="s">
        <v>4</v>
      </c>
    </row>
    <row r="18342" spans="1:2" x14ac:dyDescent="0.2">
      <c r="A18342" t="str">
        <f>"ZMYND10"</f>
        <v>ZMYND10</v>
      </c>
      <c r="B18342" t="s">
        <v>3</v>
      </c>
    </row>
    <row r="18343" spans="1:2" x14ac:dyDescent="0.2">
      <c r="A18343" t="str">
        <f>"ZMYND11"</f>
        <v>ZMYND11</v>
      </c>
      <c r="B18343" t="s">
        <v>3</v>
      </c>
    </row>
    <row r="18344" spans="1:2" x14ac:dyDescent="0.2">
      <c r="A18344" t="str">
        <f>"ZMYND12"</f>
        <v>ZMYND12</v>
      </c>
      <c r="B18344" t="s">
        <v>5</v>
      </c>
    </row>
    <row r="18345" spans="1:2" x14ac:dyDescent="0.2">
      <c r="A18345" t="str">
        <f>"ZMYND15"</f>
        <v>ZMYND15</v>
      </c>
      <c r="B18345" t="s">
        <v>4</v>
      </c>
    </row>
    <row r="18346" spans="1:2" x14ac:dyDescent="0.2">
      <c r="A18346" t="str">
        <f>"ZMYND19"</f>
        <v>ZMYND19</v>
      </c>
      <c r="B18346" t="s">
        <v>4</v>
      </c>
    </row>
    <row r="18347" spans="1:2" x14ac:dyDescent="0.2">
      <c r="A18347" t="str">
        <f>"ZMYND8"</f>
        <v>ZMYND8</v>
      </c>
      <c r="B18347" t="s">
        <v>7</v>
      </c>
    </row>
    <row r="18348" spans="1:2" x14ac:dyDescent="0.2">
      <c r="A18348" t="str">
        <f>"ZNF10"</f>
        <v>ZNF10</v>
      </c>
      <c r="B18348" t="s">
        <v>4</v>
      </c>
    </row>
    <row r="18349" spans="1:2" x14ac:dyDescent="0.2">
      <c r="A18349" t="str">
        <f>"ZNF100"</f>
        <v>ZNF100</v>
      </c>
      <c r="B18349" t="s">
        <v>8</v>
      </c>
    </row>
    <row r="18350" spans="1:2" x14ac:dyDescent="0.2">
      <c r="A18350" t="str">
        <f>"ZNF101"</f>
        <v>ZNF101</v>
      </c>
      <c r="B18350" t="s">
        <v>8</v>
      </c>
    </row>
    <row r="18351" spans="1:2" x14ac:dyDescent="0.2">
      <c r="A18351" t="str">
        <f>"ZNF106"</f>
        <v>ZNF106</v>
      </c>
      <c r="B18351" t="s">
        <v>8</v>
      </c>
    </row>
    <row r="18352" spans="1:2" x14ac:dyDescent="0.2">
      <c r="A18352" t="str">
        <f>"ZNF107"</f>
        <v>ZNF107</v>
      </c>
      <c r="B18352" t="s">
        <v>8</v>
      </c>
    </row>
    <row r="18353" spans="1:2" x14ac:dyDescent="0.2">
      <c r="A18353" t="str">
        <f>"ZNF112"</f>
        <v>ZNF112</v>
      </c>
      <c r="B18353" t="s">
        <v>8</v>
      </c>
    </row>
    <row r="18354" spans="1:2" x14ac:dyDescent="0.2">
      <c r="A18354" t="str">
        <f>"ZNF114"</f>
        <v>ZNF114</v>
      </c>
      <c r="B18354" t="s">
        <v>8</v>
      </c>
    </row>
    <row r="18355" spans="1:2" x14ac:dyDescent="0.2">
      <c r="A18355" t="str">
        <f>"ZNF117"</f>
        <v>ZNF117</v>
      </c>
      <c r="B18355" t="s">
        <v>8</v>
      </c>
    </row>
    <row r="18356" spans="1:2" x14ac:dyDescent="0.2">
      <c r="A18356" t="str">
        <f>"ZNF12"</f>
        <v>ZNF12</v>
      </c>
      <c r="B18356" t="s">
        <v>8</v>
      </c>
    </row>
    <row r="18357" spans="1:2" x14ac:dyDescent="0.2">
      <c r="A18357" t="str">
        <f>"ZNF121"</f>
        <v>ZNF121</v>
      </c>
      <c r="B18357" t="s">
        <v>8</v>
      </c>
    </row>
    <row r="18358" spans="1:2" x14ac:dyDescent="0.2">
      <c r="A18358" t="str">
        <f>"ZNF124"</f>
        <v>ZNF124</v>
      </c>
      <c r="B18358" t="s">
        <v>8</v>
      </c>
    </row>
    <row r="18359" spans="1:2" x14ac:dyDescent="0.2">
      <c r="A18359" t="str">
        <f>"ZNF131"</f>
        <v>ZNF131</v>
      </c>
      <c r="B18359" t="s">
        <v>8</v>
      </c>
    </row>
    <row r="18360" spans="1:2" x14ac:dyDescent="0.2">
      <c r="A18360" t="str">
        <f>"ZNF132"</f>
        <v>ZNF132</v>
      </c>
      <c r="B18360" t="s">
        <v>8</v>
      </c>
    </row>
    <row r="18361" spans="1:2" x14ac:dyDescent="0.2">
      <c r="A18361" t="str">
        <f>"ZNF133"</f>
        <v>ZNF133</v>
      </c>
      <c r="B18361" t="s">
        <v>8</v>
      </c>
    </row>
    <row r="18362" spans="1:2" x14ac:dyDescent="0.2">
      <c r="A18362" t="str">
        <f>"ZNF134"</f>
        <v>ZNF134</v>
      </c>
      <c r="B18362" t="s">
        <v>8</v>
      </c>
    </row>
    <row r="18363" spans="1:2" x14ac:dyDescent="0.2">
      <c r="A18363" t="str">
        <f>"ZNF135"</f>
        <v>ZNF135</v>
      </c>
      <c r="B18363" t="s">
        <v>8</v>
      </c>
    </row>
    <row r="18364" spans="1:2" x14ac:dyDescent="0.2">
      <c r="A18364" t="str">
        <f>"ZNF136"</f>
        <v>ZNF136</v>
      </c>
      <c r="B18364" t="s">
        <v>8</v>
      </c>
    </row>
    <row r="18365" spans="1:2" x14ac:dyDescent="0.2">
      <c r="A18365" t="str">
        <f>"ZNF138"</f>
        <v>ZNF138</v>
      </c>
      <c r="B18365" t="s">
        <v>8</v>
      </c>
    </row>
    <row r="18366" spans="1:2" x14ac:dyDescent="0.2">
      <c r="A18366" t="str">
        <f>"ZNF14"</f>
        <v>ZNF14</v>
      </c>
      <c r="B18366" t="s">
        <v>8</v>
      </c>
    </row>
    <row r="18367" spans="1:2" x14ac:dyDescent="0.2">
      <c r="A18367" t="str">
        <f>"ZNF140"</f>
        <v>ZNF140</v>
      </c>
      <c r="B18367" t="s">
        <v>8</v>
      </c>
    </row>
    <row r="18368" spans="1:2" x14ac:dyDescent="0.2">
      <c r="A18368" t="str">
        <f>"ZNF141"</f>
        <v>ZNF141</v>
      </c>
      <c r="B18368" t="s">
        <v>8</v>
      </c>
    </row>
    <row r="18369" spans="1:2" x14ac:dyDescent="0.2">
      <c r="A18369" t="str">
        <f>"ZNF142"</f>
        <v>ZNF142</v>
      </c>
      <c r="B18369" t="s">
        <v>8</v>
      </c>
    </row>
    <row r="18370" spans="1:2" x14ac:dyDescent="0.2">
      <c r="A18370" t="str">
        <f>"ZNF143"</f>
        <v>ZNF143</v>
      </c>
      <c r="B18370" t="s">
        <v>8</v>
      </c>
    </row>
    <row r="18371" spans="1:2" x14ac:dyDescent="0.2">
      <c r="A18371" t="str">
        <f>"ZNF146"</f>
        <v>ZNF146</v>
      </c>
      <c r="B18371" t="s">
        <v>2</v>
      </c>
    </row>
    <row r="18372" spans="1:2" x14ac:dyDescent="0.2">
      <c r="A18372" t="str">
        <f>"ZNF148"</f>
        <v>ZNF148</v>
      </c>
      <c r="B18372" t="s">
        <v>8</v>
      </c>
    </row>
    <row r="18373" spans="1:2" x14ac:dyDescent="0.2">
      <c r="A18373" t="str">
        <f>"ZNF154"</f>
        <v>ZNF154</v>
      </c>
      <c r="B18373" t="s">
        <v>8</v>
      </c>
    </row>
    <row r="18374" spans="1:2" x14ac:dyDescent="0.2">
      <c r="A18374" t="str">
        <f>"ZNF155"</f>
        <v>ZNF155</v>
      </c>
      <c r="B18374" t="s">
        <v>8</v>
      </c>
    </row>
    <row r="18375" spans="1:2" x14ac:dyDescent="0.2">
      <c r="A18375" t="str">
        <f>"ZNF157"</f>
        <v>ZNF157</v>
      </c>
      <c r="B18375" t="s">
        <v>8</v>
      </c>
    </row>
    <row r="18376" spans="1:2" x14ac:dyDescent="0.2">
      <c r="A18376" t="str">
        <f>"ZNF16"</f>
        <v>ZNF16</v>
      </c>
      <c r="B18376" t="s">
        <v>8</v>
      </c>
    </row>
    <row r="18377" spans="1:2" x14ac:dyDescent="0.2">
      <c r="A18377" t="str">
        <f>"ZNF160"</f>
        <v>ZNF160</v>
      </c>
      <c r="B18377" t="s">
        <v>8</v>
      </c>
    </row>
    <row r="18378" spans="1:2" x14ac:dyDescent="0.2">
      <c r="A18378" t="str">
        <f>"ZNF165"</f>
        <v>ZNF165</v>
      </c>
      <c r="B18378" t="s">
        <v>8</v>
      </c>
    </row>
    <row r="18379" spans="1:2" x14ac:dyDescent="0.2">
      <c r="A18379" t="str">
        <f>"ZNF169"</f>
        <v>ZNF169</v>
      </c>
      <c r="B18379" t="s">
        <v>8</v>
      </c>
    </row>
    <row r="18380" spans="1:2" x14ac:dyDescent="0.2">
      <c r="A18380" t="str">
        <f>"ZNF17"</f>
        <v>ZNF17</v>
      </c>
      <c r="B18380" t="s">
        <v>8</v>
      </c>
    </row>
    <row r="18381" spans="1:2" x14ac:dyDescent="0.2">
      <c r="A18381" t="str">
        <f>"ZNF174"</f>
        <v>ZNF174</v>
      </c>
      <c r="B18381" t="s">
        <v>8</v>
      </c>
    </row>
    <row r="18382" spans="1:2" x14ac:dyDescent="0.2">
      <c r="A18382" t="str">
        <f>"ZNF175"</f>
        <v>ZNF175</v>
      </c>
      <c r="B18382" t="s">
        <v>8</v>
      </c>
    </row>
    <row r="18383" spans="1:2" x14ac:dyDescent="0.2">
      <c r="A18383" t="str">
        <f>"ZNF177"</f>
        <v>ZNF177</v>
      </c>
      <c r="B18383" t="s">
        <v>8</v>
      </c>
    </row>
    <row r="18384" spans="1:2" x14ac:dyDescent="0.2">
      <c r="A18384" t="str">
        <f>"ZNF18"</f>
        <v>ZNF18</v>
      </c>
      <c r="B18384" t="s">
        <v>8</v>
      </c>
    </row>
    <row r="18385" spans="1:2" x14ac:dyDescent="0.2">
      <c r="A18385" t="str">
        <f>"ZNF180"</f>
        <v>ZNF180</v>
      </c>
      <c r="B18385" t="s">
        <v>8</v>
      </c>
    </row>
    <row r="18386" spans="1:2" x14ac:dyDescent="0.2">
      <c r="A18386" t="str">
        <f>"ZNF181"</f>
        <v>ZNF181</v>
      </c>
      <c r="B18386" t="s">
        <v>8</v>
      </c>
    </row>
    <row r="18387" spans="1:2" x14ac:dyDescent="0.2">
      <c r="A18387" t="str">
        <f>"ZNF182"</f>
        <v>ZNF182</v>
      </c>
      <c r="B18387" t="s">
        <v>8</v>
      </c>
    </row>
    <row r="18388" spans="1:2" x14ac:dyDescent="0.2">
      <c r="A18388" t="str">
        <f>"ZNF184"</f>
        <v>ZNF184</v>
      </c>
      <c r="B18388" t="s">
        <v>8</v>
      </c>
    </row>
    <row r="18389" spans="1:2" x14ac:dyDescent="0.2">
      <c r="A18389" t="str">
        <f>"ZNF185"</f>
        <v>ZNF185</v>
      </c>
      <c r="B18389" t="s">
        <v>4</v>
      </c>
    </row>
    <row r="18390" spans="1:2" x14ac:dyDescent="0.2">
      <c r="A18390" t="str">
        <f>"ZNF189"</f>
        <v>ZNF189</v>
      </c>
      <c r="B18390" t="s">
        <v>8</v>
      </c>
    </row>
    <row r="18391" spans="1:2" x14ac:dyDescent="0.2">
      <c r="A18391" t="str">
        <f>"ZNF19"</f>
        <v>ZNF19</v>
      </c>
      <c r="B18391" t="s">
        <v>8</v>
      </c>
    </row>
    <row r="18392" spans="1:2" x14ac:dyDescent="0.2">
      <c r="A18392" t="str">
        <f>"ZNF195"</f>
        <v>ZNF195</v>
      </c>
      <c r="B18392" t="s">
        <v>8</v>
      </c>
    </row>
    <row r="18393" spans="1:2" x14ac:dyDescent="0.2">
      <c r="A18393" t="str">
        <f>"ZNF197"</f>
        <v>ZNF197</v>
      </c>
      <c r="B18393" t="s">
        <v>8</v>
      </c>
    </row>
    <row r="18394" spans="1:2" x14ac:dyDescent="0.2">
      <c r="A18394" t="str">
        <f>"ZNF2"</f>
        <v>ZNF2</v>
      </c>
      <c r="B18394" t="s">
        <v>8</v>
      </c>
    </row>
    <row r="18395" spans="1:2" x14ac:dyDescent="0.2">
      <c r="A18395" t="str">
        <f>"ZNF20"</f>
        <v>ZNF20</v>
      </c>
      <c r="B18395" t="s">
        <v>8</v>
      </c>
    </row>
    <row r="18396" spans="1:2" x14ac:dyDescent="0.2">
      <c r="A18396" t="str">
        <f>"ZNF200"</f>
        <v>ZNF200</v>
      </c>
      <c r="B18396" t="s">
        <v>8</v>
      </c>
    </row>
    <row r="18397" spans="1:2" x14ac:dyDescent="0.2">
      <c r="A18397" t="str">
        <f>"ZNF202"</f>
        <v>ZNF202</v>
      </c>
      <c r="B18397" t="s">
        <v>6</v>
      </c>
    </row>
    <row r="18398" spans="1:2" x14ac:dyDescent="0.2">
      <c r="A18398" t="str">
        <f>"ZNF205"</f>
        <v>ZNF205</v>
      </c>
      <c r="B18398" t="s">
        <v>8</v>
      </c>
    </row>
    <row r="18399" spans="1:2" x14ac:dyDescent="0.2">
      <c r="A18399" t="str">
        <f>"ZNF207"</f>
        <v>ZNF207</v>
      </c>
      <c r="B18399" t="s">
        <v>8</v>
      </c>
    </row>
    <row r="18400" spans="1:2" x14ac:dyDescent="0.2">
      <c r="A18400" t="str">
        <f>"ZNF208"</f>
        <v>ZNF208</v>
      </c>
      <c r="B18400" t="s">
        <v>8</v>
      </c>
    </row>
    <row r="18401" spans="1:2" x14ac:dyDescent="0.2">
      <c r="A18401" t="str">
        <f>"ZNF211"</f>
        <v>ZNF211</v>
      </c>
      <c r="B18401" t="s">
        <v>8</v>
      </c>
    </row>
    <row r="18402" spans="1:2" x14ac:dyDescent="0.2">
      <c r="A18402" t="str">
        <f>"ZNF212"</f>
        <v>ZNF212</v>
      </c>
      <c r="B18402" t="s">
        <v>8</v>
      </c>
    </row>
    <row r="18403" spans="1:2" x14ac:dyDescent="0.2">
      <c r="A18403" t="str">
        <f>"ZNF213"</f>
        <v>ZNF213</v>
      </c>
      <c r="B18403" t="s">
        <v>8</v>
      </c>
    </row>
    <row r="18404" spans="1:2" x14ac:dyDescent="0.2">
      <c r="A18404" t="str">
        <f>"ZNF214"</f>
        <v>ZNF214</v>
      </c>
      <c r="B18404" t="s">
        <v>8</v>
      </c>
    </row>
    <row r="18405" spans="1:2" x14ac:dyDescent="0.2">
      <c r="A18405" t="str">
        <f>"ZNF215"</f>
        <v>ZNF215</v>
      </c>
      <c r="B18405" t="s">
        <v>8</v>
      </c>
    </row>
    <row r="18406" spans="1:2" x14ac:dyDescent="0.2">
      <c r="A18406" t="str">
        <f>"ZNF217"</f>
        <v>ZNF217</v>
      </c>
      <c r="B18406" t="s">
        <v>3</v>
      </c>
    </row>
    <row r="18407" spans="1:2" x14ac:dyDescent="0.2">
      <c r="A18407" t="str">
        <f>"ZNF219"</f>
        <v>ZNF219</v>
      </c>
      <c r="B18407" t="s">
        <v>8</v>
      </c>
    </row>
    <row r="18408" spans="1:2" x14ac:dyDescent="0.2">
      <c r="A18408" t="str">
        <f>"ZNF22"</f>
        <v>ZNF22</v>
      </c>
      <c r="B18408" t="s">
        <v>8</v>
      </c>
    </row>
    <row r="18409" spans="1:2" x14ac:dyDescent="0.2">
      <c r="A18409" t="str">
        <f>"ZNF221"</f>
        <v>ZNF221</v>
      </c>
      <c r="B18409" t="s">
        <v>8</v>
      </c>
    </row>
    <row r="18410" spans="1:2" x14ac:dyDescent="0.2">
      <c r="A18410" t="str">
        <f>"ZNF222"</f>
        <v>ZNF222</v>
      </c>
      <c r="B18410" t="s">
        <v>8</v>
      </c>
    </row>
    <row r="18411" spans="1:2" x14ac:dyDescent="0.2">
      <c r="A18411" t="str">
        <f>"ZNF223"</f>
        <v>ZNF223</v>
      </c>
      <c r="B18411" t="s">
        <v>8</v>
      </c>
    </row>
    <row r="18412" spans="1:2" x14ac:dyDescent="0.2">
      <c r="A18412" t="str">
        <f>"ZNF224"</f>
        <v>ZNF224</v>
      </c>
      <c r="B18412" t="s">
        <v>8</v>
      </c>
    </row>
    <row r="18413" spans="1:2" x14ac:dyDescent="0.2">
      <c r="A18413" t="str">
        <f>"ZNF225"</f>
        <v>ZNF225</v>
      </c>
      <c r="B18413" t="s">
        <v>8</v>
      </c>
    </row>
    <row r="18414" spans="1:2" x14ac:dyDescent="0.2">
      <c r="A18414" t="str">
        <f>"ZNF226"</f>
        <v>ZNF226</v>
      </c>
      <c r="B18414" t="s">
        <v>8</v>
      </c>
    </row>
    <row r="18415" spans="1:2" x14ac:dyDescent="0.2">
      <c r="A18415" t="str">
        <f>"ZNF227"</f>
        <v>ZNF227</v>
      </c>
      <c r="B18415" t="s">
        <v>8</v>
      </c>
    </row>
    <row r="18416" spans="1:2" x14ac:dyDescent="0.2">
      <c r="A18416" t="str">
        <f>"ZNF229"</f>
        <v>ZNF229</v>
      </c>
      <c r="B18416" t="s">
        <v>8</v>
      </c>
    </row>
    <row r="18417" spans="1:2" x14ac:dyDescent="0.2">
      <c r="A18417" t="str">
        <f>"ZNF23"</f>
        <v>ZNF23</v>
      </c>
      <c r="B18417" t="s">
        <v>8</v>
      </c>
    </row>
    <row r="18418" spans="1:2" x14ac:dyDescent="0.2">
      <c r="A18418" t="str">
        <f>"ZNF230"</f>
        <v>ZNF230</v>
      </c>
      <c r="B18418" t="s">
        <v>8</v>
      </c>
    </row>
    <row r="18419" spans="1:2" x14ac:dyDescent="0.2">
      <c r="A18419" t="str">
        <f>"ZNF232"</f>
        <v>ZNF232</v>
      </c>
      <c r="B18419" t="s">
        <v>8</v>
      </c>
    </row>
    <row r="18420" spans="1:2" x14ac:dyDescent="0.2">
      <c r="A18420" t="str">
        <f>"ZNF233"</f>
        <v>ZNF233</v>
      </c>
      <c r="B18420" t="s">
        <v>8</v>
      </c>
    </row>
    <row r="18421" spans="1:2" x14ac:dyDescent="0.2">
      <c r="A18421" t="str">
        <f>"ZNF234"</f>
        <v>ZNF234</v>
      </c>
      <c r="B18421" t="s">
        <v>8</v>
      </c>
    </row>
    <row r="18422" spans="1:2" x14ac:dyDescent="0.2">
      <c r="A18422" t="str">
        <f>"ZNF235"</f>
        <v>ZNF235</v>
      </c>
      <c r="B18422" t="s">
        <v>8</v>
      </c>
    </row>
    <row r="18423" spans="1:2" x14ac:dyDescent="0.2">
      <c r="A18423" t="str">
        <f>"ZNF236"</f>
        <v>ZNF236</v>
      </c>
      <c r="B18423" t="s">
        <v>6</v>
      </c>
    </row>
    <row r="18424" spans="1:2" x14ac:dyDescent="0.2">
      <c r="A18424" t="str">
        <f>"ZNF239"</f>
        <v>ZNF239</v>
      </c>
      <c r="B18424" t="s">
        <v>8</v>
      </c>
    </row>
    <row r="18425" spans="1:2" x14ac:dyDescent="0.2">
      <c r="A18425" t="str">
        <f>"ZNF24"</f>
        <v>ZNF24</v>
      </c>
      <c r="B18425" t="s">
        <v>3</v>
      </c>
    </row>
    <row r="18426" spans="1:2" x14ac:dyDescent="0.2">
      <c r="A18426" t="str">
        <f>"ZNF248"</f>
        <v>ZNF248</v>
      </c>
      <c r="B18426" t="s">
        <v>8</v>
      </c>
    </row>
    <row r="18427" spans="1:2" x14ac:dyDescent="0.2">
      <c r="A18427" t="str">
        <f>"ZNF25"</f>
        <v>ZNF25</v>
      </c>
      <c r="B18427" t="s">
        <v>8</v>
      </c>
    </row>
    <row r="18428" spans="1:2" x14ac:dyDescent="0.2">
      <c r="A18428" t="str">
        <f>"ZNF250"</f>
        <v>ZNF250</v>
      </c>
      <c r="B18428" t="s">
        <v>8</v>
      </c>
    </row>
    <row r="18429" spans="1:2" x14ac:dyDescent="0.2">
      <c r="A18429" t="str">
        <f>"ZNF251"</f>
        <v>ZNF251</v>
      </c>
      <c r="B18429" t="s">
        <v>8</v>
      </c>
    </row>
    <row r="18430" spans="1:2" x14ac:dyDescent="0.2">
      <c r="A18430" t="str">
        <f>"ZNF253"</f>
        <v>ZNF253</v>
      </c>
      <c r="B18430" t="s">
        <v>8</v>
      </c>
    </row>
    <row r="18431" spans="1:2" x14ac:dyDescent="0.2">
      <c r="A18431" t="str">
        <f>"ZNF254"</f>
        <v>ZNF254</v>
      </c>
      <c r="B18431" t="s">
        <v>8</v>
      </c>
    </row>
    <row r="18432" spans="1:2" x14ac:dyDescent="0.2">
      <c r="A18432" t="str">
        <f>"ZNF256"</f>
        <v>ZNF256</v>
      </c>
      <c r="B18432" t="s">
        <v>8</v>
      </c>
    </row>
    <row r="18433" spans="1:2" x14ac:dyDescent="0.2">
      <c r="A18433" t="str">
        <f>"ZNF257"</f>
        <v>ZNF257</v>
      </c>
      <c r="B18433" t="s">
        <v>8</v>
      </c>
    </row>
    <row r="18434" spans="1:2" x14ac:dyDescent="0.2">
      <c r="A18434" t="str">
        <f>"ZNF259"</f>
        <v>ZNF259</v>
      </c>
      <c r="B18434" t="s">
        <v>3</v>
      </c>
    </row>
    <row r="18435" spans="1:2" x14ac:dyDescent="0.2">
      <c r="A18435" t="str">
        <f>"ZNF26"</f>
        <v>ZNF26</v>
      </c>
      <c r="B18435" t="s">
        <v>8</v>
      </c>
    </row>
    <row r="18436" spans="1:2" x14ac:dyDescent="0.2">
      <c r="A18436" t="str">
        <f>"ZNF260"</f>
        <v>ZNF260</v>
      </c>
      <c r="B18436" t="s">
        <v>8</v>
      </c>
    </row>
    <row r="18437" spans="1:2" x14ac:dyDescent="0.2">
      <c r="A18437" t="str">
        <f>"ZNF263"</f>
        <v>ZNF263</v>
      </c>
      <c r="B18437" t="s">
        <v>8</v>
      </c>
    </row>
    <row r="18438" spans="1:2" x14ac:dyDescent="0.2">
      <c r="A18438" t="str">
        <f>"ZNF264"</f>
        <v>ZNF264</v>
      </c>
      <c r="B18438" t="s">
        <v>3</v>
      </c>
    </row>
    <row r="18439" spans="1:2" x14ac:dyDescent="0.2">
      <c r="A18439" t="str">
        <f>"ZNF266"</f>
        <v>ZNF266</v>
      </c>
      <c r="B18439" t="s">
        <v>8</v>
      </c>
    </row>
    <row r="18440" spans="1:2" x14ac:dyDescent="0.2">
      <c r="A18440" t="str">
        <f>"ZNF267"</f>
        <v>ZNF267</v>
      </c>
      <c r="B18440" t="s">
        <v>8</v>
      </c>
    </row>
    <row r="18441" spans="1:2" x14ac:dyDescent="0.2">
      <c r="A18441" t="str">
        <f>"ZNF268"</f>
        <v>ZNF268</v>
      </c>
      <c r="B18441" t="s">
        <v>8</v>
      </c>
    </row>
    <row r="18442" spans="1:2" x14ac:dyDescent="0.2">
      <c r="A18442" t="str">
        <f>"ZNF273"</f>
        <v>ZNF273</v>
      </c>
      <c r="B18442" t="s">
        <v>8</v>
      </c>
    </row>
    <row r="18443" spans="1:2" x14ac:dyDescent="0.2">
      <c r="A18443" t="str">
        <f>"ZNF274"</f>
        <v>ZNF274</v>
      </c>
      <c r="B18443" t="s">
        <v>8</v>
      </c>
    </row>
    <row r="18444" spans="1:2" x14ac:dyDescent="0.2">
      <c r="A18444" t="str">
        <f>"ZNF275"</f>
        <v>ZNF275</v>
      </c>
      <c r="B18444" t="s">
        <v>8</v>
      </c>
    </row>
    <row r="18445" spans="1:2" x14ac:dyDescent="0.2">
      <c r="A18445" t="str">
        <f>"ZNF276"</f>
        <v>ZNF276</v>
      </c>
      <c r="B18445" t="s">
        <v>8</v>
      </c>
    </row>
    <row r="18446" spans="1:2" x14ac:dyDescent="0.2">
      <c r="A18446" t="str">
        <f>"ZNF277"</f>
        <v>ZNF277</v>
      </c>
      <c r="B18446" t="s">
        <v>8</v>
      </c>
    </row>
    <row r="18447" spans="1:2" x14ac:dyDescent="0.2">
      <c r="A18447" t="str">
        <f>"ZNF28"</f>
        <v>ZNF28</v>
      </c>
      <c r="B18447" t="s">
        <v>8</v>
      </c>
    </row>
    <row r="18448" spans="1:2" x14ac:dyDescent="0.2">
      <c r="A18448" t="str">
        <f>"ZNF280A"</f>
        <v>ZNF280A</v>
      </c>
      <c r="B18448" t="s">
        <v>8</v>
      </c>
    </row>
    <row r="18449" spans="1:2" x14ac:dyDescent="0.2">
      <c r="A18449" t="str">
        <f>"ZNF280B"</f>
        <v>ZNF280B</v>
      </c>
      <c r="B18449" t="s">
        <v>8</v>
      </c>
    </row>
    <row r="18450" spans="1:2" x14ac:dyDescent="0.2">
      <c r="A18450" t="str">
        <f>"ZNF280C"</f>
        <v>ZNF280C</v>
      </c>
      <c r="B18450" t="s">
        <v>8</v>
      </c>
    </row>
    <row r="18451" spans="1:2" x14ac:dyDescent="0.2">
      <c r="A18451" t="str">
        <f>"ZNF280D"</f>
        <v>ZNF280D</v>
      </c>
      <c r="B18451" t="s">
        <v>8</v>
      </c>
    </row>
    <row r="18452" spans="1:2" x14ac:dyDescent="0.2">
      <c r="A18452" t="str">
        <f>"ZNF281"</f>
        <v>ZNF281</v>
      </c>
      <c r="B18452" t="s">
        <v>8</v>
      </c>
    </row>
    <row r="18453" spans="1:2" x14ac:dyDescent="0.2">
      <c r="A18453" t="str">
        <f>"ZNF282"</f>
        <v>ZNF282</v>
      </c>
      <c r="B18453" t="s">
        <v>8</v>
      </c>
    </row>
    <row r="18454" spans="1:2" x14ac:dyDescent="0.2">
      <c r="A18454" t="str">
        <f>"ZNF283"</f>
        <v>ZNF283</v>
      </c>
      <c r="B18454" t="s">
        <v>8</v>
      </c>
    </row>
    <row r="18455" spans="1:2" x14ac:dyDescent="0.2">
      <c r="A18455" t="str">
        <f>"ZNF284"</f>
        <v>ZNF284</v>
      </c>
      <c r="B18455" t="s">
        <v>8</v>
      </c>
    </row>
    <row r="18456" spans="1:2" x14ac:dyDescent="0.2">
      <c r="A18456" t="str">
        <f>"ZNF285"</f>
        <v>ZNF285</v>
      </c>
      <c r="B18456" t="s">
        <v>8</v>
      </c>
    </row>
    <row r="18457" spans="1:2" x14ac:dyDescent="0.2">
      <c r="A18457" t="str">
        <f>"ZNF286A"</f>
        <v>ZNF286A</v>
      </c>
      <c r="B18457" t="s">
        <v>8</v>
      </c>
    </row>
    <row r="18458" spans="1:2" x14ac:dyDescent="0.2">
      <c r="A18458" t="str">
        <f>"ZNF286B"</f>
        <v>ZNF286B</v>
      </c>
      <c r="B18458" t="s">
        <v>4</v>
      </c>
    </row>
    <row r="18459" spans="1:2" x14ac:dyDescent="0.2">
      <c r="A18459" t="str">
        <f>"ZNF287"</f>
        <v>ZNF287</v>
      </c>
      <c r="B18459" t="s">
        <v>8</v>
      </c>
    </row>
    <row r="18460" spans="1:2" x14ac:dyDescent="0.2">
      <c r="A18460" t="str">
        <f>"ZNF292"</f>
        <v>ZNF292</v>
      </c>
      <c r="B18460" t="s">
        <v>8</v>
      </c>
    </row>
    <row r="18461" spans="1:2" x14ac:dyDescent="0.2">
      <c r="A18461" t="str">
        <f>"ZNF296"</f>
        <v>ZNF296</v>
      </c>
      <c r="B18461" t="s">
        <v>8</v>
      </c>
    </row>
    <row r="18462" spans="1:2" x14ac:dyDescent="0.2">
      <c r="A18462" t="str">
        <f>"ZNF3"</f>
        <v>ZNF3</v>
      </c>
      <c r="B18462" t="s">
        <v>8</v>
      </c>
    </row>
    <row r="18463" spans="1:2" x14ac:dyDescent="0.2">
      <c r="A18463" t="str">
        <f>"ZNF30"</f>
        <v>ZNF30</v>
      </c>
      <c r="B18463" t="s">
        <v>8</v>
      </c>
    </row>
    <row r="18464" spans="1:2" x14ac:dyDescent="0.2">
      <c r="A18464" t="str">
        <f>"ZNF300"</f>
        <v>ZNF300</v>
      </c>
      <c r="B18464" t="s">
        <v>8</v>
      </c>
    </row>
    <row r="18465" spans="1:2" x14ac:dyDescent="0.2">
      <c r="A18465" t="str">
        <f>"ZNF302"</f>
        <v>ZNF302</v>
      </c>
      <c r="B18465" t="s">
        <v>8</v>
      </c>
    </row>
    <row r="18466" spans="1:2" x14ac:dyDescent="0.2">
      <c r="A18466" t="str">
        <f>"ZNF304"</f>
        <v>ZNF304</v>
      </c>
      <c r="B18466" t="s">
        <v>8</v>
      </c>
    </row>
    <row r="18467" spans="1:2" x14ac:dyDescent="0.2">
      <c r="A18467" t="str">
        <f>"ZNF311"</f>
        <v>ZNF311</v>
      </c>
      <c r="B18467" t="s">
        <v>8</v>
      </c>
    </row>
    <row r="18468" spans="1:2" x14ac:dyDescent="0.2">
      <c r="A18468" t="str">
        <f>"ZNF317"</f>
        <v>ZNF317</v>
      </c>
      <c r="B18468" t="s">
        <v>8</v>
      </c>
    </row>
    <row r="18469" spans="1:2" x14ac:dyDescent="0.2">
      <c r="A18469" t="str">
        <f>"ZNF318"</f>
        <v>ZNF318</v>
      </c>
      <c r="B18469" t="s">
        <v>8</v>
      </c>
    </row>
    <row r="18470" spans="1:2" x14ac:dyDescent="0.2">
      <c r="A18470" t="str">
        <f>"ZNF319"</f>
        <v>ZNF319</v>
      </c>
      <c r="B18470" t="s">
        <v>8</v>
      </c>
    </row>
    <row r="18471" spans="1:2" x14ac:dyDescent="0.2">
      <c r="A18471" t="str">
        <f>"ZNF32"</f>
        <v>ZNF32</v>
      </c>
      <c r="B18471" t="s">
        <v>8</v>
      </c>
    </row>
    <row r="18472" spans="1:2" x14ac:dyDescent="0.2">
      <c r="A18472" t="str">
        <f>"ZNF320"</f>
        <v>ZNF320</v>
      </c>
      <c r="B18472" t="s">
        <v>8</v>
      </c>
    </row>
    <row r="18473" spans="1:2" x14ac:dyDescent="0.2">
      <c r="A18473" t="str">
        <f>"ZNF322"</f>
        <v>ZNF322</v>
      </c>
      <c r="B18473" t="s">
        <v>8</v>
      </c>
    </row>
    <row r="18474" spans="1:2" x14ac:dyDescent="0.2">
      <c r="A18474" t="str">
        <f>"ZNF324"</f>
        <v>ZNF324</v>
      </c>
      <c r="B18474" t="s">
        <v>8</v>
      </c>
    </row>
    <row r="18475" spans="1:2" x14ac:dyDescent="0.2">
      <c r="A18475" t="str">
        <f>"ZNF324B"</f>
        <v>ZNF324B</v>
      </c>
      <c r="B18475" t="s">
        <v>3</v>
      </c>
    </row>
    <row r="18476" spans="1:2" x14ac:dyDescent="0.2">
      <c r="A18476" t="str">
        <f>"ZNF326"</f>
        <v>ZNF326</v>
      </c>
      <c r="B18476" t="s">
        <v>8</v>
      </c>
    </row>
    <row r="18477" spans="1:2" x14ac:dyDescent="0.2">
      <c r="A18477" t="str">
        <f>"ZNF329"</f>
        <v>ZNF329</v>
      </c>
      <c r="B18477" t="s">
        <v>8</v>
      </c>
    </row>
    <row r="18478" spans="1:2" x14ac:dyDescent="0.2">
      <c r="A18478" t="str">
        <f>"ZNF330"</f>
        <v>ZNF330</v>
      </c>
      <c r="B18478" t="s">
        <v>2</v>
      </c>
    </row>
    <row r="18479" spans="1:2" x14ac:dyDescent="0.2">
      <c r="A18479" t="str">
        <f>"ZNF331"</f>
        <v>ZNF331</v>
      </c>
      <c r="B18479" t="s">
        <v>3</v>
      </c>
    </row>
    <row r="18480" spans="1:2" x14ac:dyDescent="0.2">
      <c r="A18480" t="str">
        <f>"ZNF333"</f>
        <v>ZNF333</v>
      </c>
      <c r="B18480" t="s">
        <v>8</v>
      </c>
    </row>
    <row r="18481" spans="1:2" x14ac:dyDescent="0.2">
      <c r="A18481" t="str">
        <f>"ZNF334"</f>
        <v>ZNF334</v>
      </c>
      <c r="B18481" t="s">
        <v>8</v>
      </c>
    </row>
    <row r="18482" spans="1:2" x14ac:dyDescent="0.2">
      <c r="A18482" t="str">
        <f>"ZNF335"</f>
        <v>ZNF335</v>
      </c>
      <c r="B18482" t="s">
        <v>8</v>
      </c>
    </row>
    <row r="18483" spans="1:2" x14ac:dyDescent="0.2">
      <c r="A18483" t="str">
        <f>"ZNF337"</f>
        <v>ZNF337</v>
      </c>
      <c r="B18483" t="s">
        <v>8</v>
      </c>
    </row>
    <row r="18484" spans="1:2" x14ac:dyDescent="0.2">
      <c r="A18484" t="str">
        <f>"ZNF33A"</f>
        <v>ZNF33A</v>
      </c>
      <c r="B18484" t="s">
        <v>8</v>
      </c>
    </row>
    <row r="18485" spans="1:2" x14ac:dyDescent="0.2">
      <c r="A18485" t="str">
        <f>"ZNF33B"</f>
        <v>ZNF33B</v>
      </c>
      <c r="B18485" t="s">
        <v>8</v>
      </c>
    </row>
    <row r="18486" spans="1:2" x14ac:dyDescent="0.2">
      <c r="A18486" t="str">
        <f>"ZNF34"</f>
        <v>ZNF34</v>
      </c>
      <c r="B18486" t="s">
        <v>8</v>
      </c>
    </row>
    <row r="18487" spans="1:2" x14ac:dyDescent="0.2">
      <c r="A18487" t="str">
        <f>"ZNF341"</f>
        <v>ZNF341</v>
      </c>
      <c r="B18487" t="s">
        <v>8</v>
      </c>
    </row>
    <row r="18488" spans="1:2" x14ac:dyDescent="0.2">
      <c r="A18488" t="str">
        <f>"ZNF343"</f>
        <v>ZNF343</v>
      </c>
      <c r="B18488" t="s">
        <v>8</v>
      </c>
    </row>
    <row r="18489" spans="1:2" x14ac:dyDescent="0.2">
      <c r="A18489" t="str">
        <f>"ZNF345"</f>
        <v>ZNF345</v>
      </c>
      <c r="B18489" t="s">
        <v>8</v>
      </c>
    </row>
    <row r="18490" spans="1:2" x14ac:dyDescent="0.2">
      <c r="A18490" t="str">
        <f>"ZNF346"</f>
        <v>ZNF346</v>
      </c>
      <c r="B18490" t="s">
        <v>8</v>
      </c>
    </row>
    <row r="18491" spans="1:2" x14ac:dyDescent="0.2">
      <c r="A18491" t="str">
        <f>"ZNF347"</f>
        <v>ZNF347</v>
      </c>
      <c r="B18491" t="s">
        <v>8</v>
      </c>
    </row>
    <row r="18492" spans="1:2" x14ac:dyDescent="0.2">
      <c r="A18492" t="str">
        <f>"ZNF35"</f>
        <v>ZNF35</v>
      </c>
      <c r="B18492" t="s">
        <v>8</v>
      </c>
    </row>
    <row r="18493" spans="1:2" x14ac:dyDescent="0.2">
      <c r="A18493" t="str">
        <f>"ZNF350"</f>
        <v>ZNF350</v>
      </c>
      <c r="B18493" t="s">
        <v>8</v>
      </c>
    </row>
    <row r="18494" spans="1:2" x14ac:dyDescent="0.2">
      <c r="A18494" t="str">
        <f>"ZNF354A"</f>
        <v>ZNF354A</v>
      </c>
      <c r="B18494" t="s">
        <v>8</v>
      </c>
    </row>
    <row r="18495" spans="1:2" x14ac:dyDescent="0.2">
      <c r="A18495" t="str">
        <f>"ZNF354B"</f>
        <v>ZNF354B</v>
      </c>
      <c r="B18495" t="s">
        <v>8</v>
      </c>
    </row>
    <row r="18496" spans="1:2" x14ac:dyDescent="0.2">
      <c r="A18496" t="str">
        <f>"ZNF354C"</f>
        <v>ZNF354C</v>
      </c>
      <c r="B18496" t="s">
        <v>8</v>
      </c>
    </row>
    <row r="18497" spans="1:2" x14ac:dyDescent="0.2">
      <c r="A18497" t="str">
        <f>"ZNF358"</f>
        <v>ZNF358</v>
      </c>
      <c r="B18497" t="s">
        <v>8</v>
      </c>
    </row>
    <row r="18498" spans="1:2" x14ac:dyDescent="0.2">
      <c r="A18498" t="str">
        <f>"ZNF362"</f>
        <v>ZNF362</v>
      </c>
      <c r="B18498" t="s">
        <v>8</v>
      </c>
    </row>
    <row r="18499" spans="1:2" x14ac:dyDescent="0.2">
      <c r="A18499" t="str">
        <f>"ZNF365"</f>
        <v>ZNF365</v>
      </c>
      <c r="B18499" t="s">
        <v>8</v>
      </c>
    </row>
    <row r="18500" spans="1:2" x14ac:dyDescent="0.2">
      <c r="A18500" t="str">
        <f>"ZNF366"</f>
        <v>ZNF366</v>
      </c>
      <c r="B18500" t="s">
        <v>8</v>
      </c>
    </row>
    <row r="18501" spans="1:2" x14ac:dyDescent="0.2">
      <c r="A18501" t="str">
        <f>"ZNF367"</f>
        <v>ZNF367</v>
      </c>
      <c r="B18501" t="s">
        <v>8</v>
      </c>
    </row>
    <row r="18502" spans="1:2" x14ac:dyDescent="0.2">
      <c r="A18502" t="str">
        <f>"ZNF37A"</f>
        <v>ZNF37A</v>
      </c>
      <c r="B18502" t="s">
        <v>8</v>
      </c>
    </row>
    <row r="18503" spans="1:2" x14ac:dyDescent="0.2">
      <c r="A18503" t="str">
        <f>"ZNF382"</f>
        <v>ZNF382</v>
      </c>
      <c r="B18503" t="s">
        <v>8</v>
      </c>
    </row>
    <row r="18504" spans="1:2" x14ac:dyDescent="0.2">
      <c r="A18504" t="str">
        <f>"ZNF383"</f>
        <v>ZNF383</v>
      </c>
      <c r="B18504" t="s">
        <v>8</v>
      </c>
    </row>
    <row r="18505" spans="1:2" x14ac:dyDescent="0.2">
      <c r="A18505" t="str">
        <f>"ZNF384"</f>
        <v>ZNF384</v>
      </c>
      <c r="B18505" t="s">
        <v>3</v>
      </c>
    </row>
    <row r="18506" spans="1:2" x14ac:dyDescent="0.2">
      <c r="A18506" t="str">
        <f>"ZNF385A"</f>
        <v>ZNF385A</v>
      </c>
      <c r="B18506" t="s">
        <v>8</v>
      </c>
    </row>
    <row r="18507" spans="1:2" x14ac:dyDescent="0.2">
      <c r="A18507" t="str">
        <f>"ZNF385B"</f>
        <v>ZNF385B</v>
      </c>
      <c r="B18507" t="s">
        <v>8</v>
      </c>
    </row>
    <row r="18508" spans="1:2" x14ac:dyDescent="0.2">
      <c r="A18508" t="str">
        <f>"ZNF385C"</f>
        <v>ZNF385C</v>
      </c>
      <c r="B18508" t="s">
        <v>8</v>
      </c>
    </row>
    <row r="18509" spans="1:2" x14ac:dyDescent="0.2">
      <c r="A18509" t="str">
        <f>"ZNF385D"</f>
        <v>ZNF385D</v>
      </c>
      <c r="B18509" t="s">
        <v>8</v>
      </c>
    </row>
    <row r="18510" spans="1:2" x14ac:dyDescent="0.2">
      <c r="A18510" t="str">
        <f>"ZNF391"</f>
        <v>ZNF391</v>
      </c>
      <c r="B18510" t="s">
        <v>8</v>
      </c>
    </row>
    <row r="18511" spans="1:2" x14ac:dyDescent="0.2">
      <c r="A18511" t="str">
        <f>"ZNF394"</f>
        <v>ZNF394</v>
      </c>
      <c r="B18511" t="s">
        <v>8</v>
      </c>
    </row>
    <row r="18512" spans="1:2" x14ac:dyDescent="0.2">
      <c r="A18512" t="str">
        <f>"ZNF395"</f>
        <v>ZNF395</v>
      </c>
      <c r="B18512" t="s">
        <v>8</v>
      </c>
    </row>
    <row r="18513" spans="1:2" x14ac:dyDescent="0.2">
      <c r="A18513" t="str">
        <f>"ZNF396"</f>
        <v>ZNF396</v>
      </c>
      <c r="B18513" t="s">
        <v>8</v>
      </c>
    </row>
    <row r="18514" spans="1:2" x14ac:dyDescent="0.2">
      <c r="A18514" t="str">
        <f>"ZNF397"</f>
        <v>ZNF397</v>
      </c>
      <c r="B18514" t="s">
        <v>8</v>
      </c>
    </row>
    <row r="18515" spans="1:2" x14ac:dyDescent="0.2">
      <c r="A18515" t="str">
        <f>"ZNF398"</f>
        <v>ZNF398</v>
      </c>
      <c r="B18515" t="s">
        <v>8</v>
      </c>
    </row>
    <row r="18516" spans="1:2" x14ac:dyDescent="0.2">
      <c r="A18516" t="str">
        <f>"ZNF404"</f>
        <v>ZNF404</v>
      </c>
      <c r="B18516" t="s">
        <v>8</v>
      </c>
    </row>
    <row r="18517" spans="1:2" x14ac:dyDescent="0.2">
      <c r="A18517" t="str">
        <f>"ZNF407"</f>
        <v>ZNF407</v>
      </c>
      <c r="B18517" t="s">
        <v>8</v>
      </c>
    </row>
    <row r="18518" spans="1:2" x14ac:dyDescent="0.2">
      <c r="A18518" t="str">
        <f>"ZNF408"</f>
        <v>ZNF408</v>
      </c>
      <c r="B18518" t="s">
        <v>8</v>
      </c>
    </row>
    <row r="18519" spans="1:2" x14ac:dyDescent="0.2">
      <c r="A18519" t="str">
        <f>"ZNF41"</f>
        <v>ZNF41</v>
      </c>
      <c r="B18519" t="s">
        <v>8</v>
      </c>
    </row>
    <row r="18520" spans="1:2" x14ac:dyDescent="0.2">
      <c r="A18520" t="str">
        <f>"ZNF410"</f>
        <v>ZNF410</v>
      </c>
      <c r="B18520" t="s">
        <v>8</v>
      </c>
    </row>
    <row r="18521" spans="1:2" x14ac:dyDescent="0.2">
      <c r="A18521" t="str">
        <f>"ZNF414"</f>
        <v>ZNF414</v>
      </c>
      <c r="B18521" t="s">
        <v>8</v>
      </c>
    </row>
    <row r="18522" spans="1:2" x14ac:dyDescent="0.2">
      <c r="A18522" t="str">
        <f>"ZNF415"</f>
        <v>ZNF415</v>
      </c>
      <c r="B18522" t="s">
        <v>8</v>
      </c>
    </row>
    <row r="18523" spans="1:2" x14ac:dyDescent="0.2">
      <c r="A18523" t="str">
        <f>"ZNF416"</f>
        <v>ZNF416</v>
      </c>
      <c r="B18523" t="s">
        <v>8</v>
      </c>
    </row>
    <row r="18524" spans="1:2" x14ac:dyDescent="0.2">
      <c r="A18524" t="str">
        <f>"ZNF417"</f>
        <v>ZNF417</v>
      </c>
      <c r="B18524" t="s">
        <v>8</v>
      </c>
    </row>
    <row r="18525" spans="1:2" x14ac:dyDescent="0.2">
      <c r="A18525" t="str">
        <f>"ZNF418"</f>
        <v>ZNF418</v>
      </c>
      <c r="B18525" t="s">
        <v>8</v>
      </c>
    </row>
    <row r="18526" spans="1:2" x14ac:dyDescent="0.2">
      <c r="A18526" t="str">
        <f>"ZNF419"</f>
        <v>ZNF419</v>
      </c>
      <c r="B18526" t="s">
        <v>8</v>
      </c>
    </row>
    <row r="18527" spans="1:2" x14ac:dyDescent="0.2">
      <c r="A18527" t="str">
        <f>"ZNF420"</f>
        <v>ZNF420</v>
      </c>
      <c r="B18527" t="s">
        <v>8</v>
      </c>
    </row>
    <row r="18528" spans="1:2" x14ac:dyDescent="0.2">
      <c r="A18528" t="str">
        <f>"ZNF423"</f>
        <v>ZNF423</v>
      </c>
      <c r="B18528" t="s">
        <v>8</v>
      </c>
    </row>
    <row r="18529" spans="1:2" x14ac:dyDescent="0.2">
      <c r="A18529" t="str">
        <f>"ZNF425"</f>
        <v>ZNF425</v>
      </c>
      <c r="B18529" t="s">
        <v>8</v>
      </c>
    </row>
    <row r="18530" spans="1:2" x14ac:dyDescent="0.2">
      <c r="A18530" t="str">
        <f>"ZNF426"</f>
        <v>ZNF426</v>
      </c>
      <c r="B18530" t="s">
        <v>8</v>
      </c>
    </row>
    <row r="18531" spans="1:2" x14ac:dyDescent="0.2">
      <c r="A18531" t="str">
        <f>"ZNF428"</f>
        <v>ZNF428</v>
      </c>
      <c r="B18531" t="s">
        <v>8</v>
      </c>
    </row>
    <row r="18532" spans="1:2" x14ac:dyDescent="0.2">
      <c r="A18532" t="str">
        <f>"ZNF429"</f>
        <v>ZNF429</v>
      </c>
      <c r="B18532" t="s">
        <v>8</v>
      </c>
    </row>
    <row r="18533" spans="1:2" x14ac:dyDescent="0.2">
      <c r="A18533" t="str">
        <f>"ZNF43"</f>
        <v>ZNF43</v>
      </c>
      <c r="B18533" t="s">
        <v>8</v>
      </c>
    </row>
    <row r="18534" spans="1:2" x14ac:dyDescent="0.2">
      <c r="A18534" t="str">
        <f>"ZNF430"</f>
        <v>ZNF430</v>
      </c>
      <c r="B18534" t="s">
        <v>8</v>
      </c>
    </row>
    <row r="18535" spans="1:2" x14ac:dyDescent="0.2">
      <c r="A18535" t="str">
        <f>"ZNF431"</f>
        <v>ZNF431</v>
      </c>
      <c r="B18535" t="s">
        <v>8</v>
      </c>
    </row>
    <row r="18536" spans="1:2" x14ac:dyDescent="0.2">
      <c r="A18536" t="str">
        <f>"ZNF432"</f>
        <v>ZNF432</v>
      </c>
      <c r="B18536" t="s">
        <v>8</v>
      </c>
    </row>
    <row r="18537" spans="1:2" x14ac:dyDescent="0.2">
      <c r="A18537" t="str">
        <f>"ZNF433"</f>
        <v>ZNF433</v>
      </c>
      <c r="B18537" t="s">
        <v>8</v>
      </c>
    </row>
    <row r="18538" spans="1:2" x14ac:dyDescent="0.2">
      <c r="A18538" t="str">
        <f>"ZNF436"</f>
        <v>ZNF436</v>
      </c>
      <c r="B18538" t="s">
        <v>2</v>
      </c>
    </row>
    <row r="18539" spans="1:2" x14ac:dyDescent="0.2">
      <c r="A18539" t="str">
        <f>"ZNF438"</f>
        <v>ZNF438</v>
      </c>
      <c r="B18539" t="s">
        <v>8</v>
      </c>
    </row>
    <row r="18540" spans="1:2" x14ac:dyDescent="0.2">
      <c r="A18540" t="str">
        <f>"ZNF439"</f>
        <v>ZNF439</v>
      </c>
      <c r="B18540" t="s">
        <v>8</v>
      </c>
    </row>
    <row r="18541" spans="1:2" x14ac:dyDescent="0.2">
      <c r="A18541" t="str">
        <f>"ZNF44"</f>
        <v>ZNF44</v>
      </c>
      <c r="B18541" t="s">
        <v>8</v>
      </c>
    </row>
    <row r="18542" spans="1:2" x14ac:dyDescent="0.2">
      <c r="A18542" t="str">
        <f>"ZNF440"</f>
        <v>ZNF440</v>
      </c>
      <c r="B18542" t="s">
        <v>8</v>
      </c>
    </row>
    <row r="18543" spans="1:2" x14ac:dyDescent="0.2">
      <c r="A18543" t="str">
        <f>"ZNF441"</f>
        <v>ZNF441</v>
      </c>
      <c r="B18543" t="s">
        <v>8</v>
      </c>
    </row>
    <row r="18544" spans="1:2" x14ac:dyDescent="0.2">
      <c r="A18544" t="str">
        <f>"ZNF442"</f>
        <v>ZNF442</v>
      </c>
      <c r="B18544" t="s">
        <v>8</v>
      </c>
    </row>
    <row r="18545" spans="1:2" x14ac:dyDescent="0.2">
      <c r="A18545" t="str">
        <f>"ZNF443"</f>
        <v>ZNF443</v>
      </c>
      <c r="B18545" t="s">
        <v>2</v>
      </c>
    </row>
    <row r="18546" spans="1:2" x14ac:dyDescent="0.2">
      <c r="A18546" t="str">
        <f>"ZNF444"</f>
        <v>ZNF444</v>
      </c>
      <c r="B18546" t="s">
        <v>8</v>
      </c>
    </row>
    <row r="18547" spans="1:2" x14ac:dyDescent="0.2">
      <c r="A18547" t="str">
        <f>"ZNF445"</f>
        <v>ZNF445</v>
      </c>
      <c r="B18547" t="s">
        <v>8</v>
      </c>
    </row>
    <row r="18548" spans="1:2" x14ac:dyDescent="0.2">
      <c r="A18548" t="str">
        <f>"ZNF446"</f>
        <v>ZNF446</v>
      </c>
      <c r="B18548" t="s">
        <v>8</v>
      </c>
    </row>
    <row r="18549" spans="1:2" x14ac:dyDescent="0.2">
      <c r="A18549" t="str">
        <f>"ZNF449"</f>
        <v>ZNF449</v>
      </c>
      <c r="B18549" t="s">
        <v>8</v>
      </c>
    </row>
    <row r="18550" spans="1:2" x14ac:dyDescent="0.2">
      <c r="A18550" t="str">
        <f>"ZNF45"</f>
        <v>ZNF45</v>
      </c>
      <c r="B18550" t="s">
        <v>8</v>
      </c>
    </row>
    <row r="18551" spans="1:2" x14ac:dyDescent="0.2">
      <c r="A18551" t="str">
        <f>"ZNF451"</f>
        <v>ZNF451</v>
      </c>
      <c r="B18551" t="s">
        <v>8</v>
      </c>
    </row>
    <row r="18552" spans="1:2" x14ac:dyDescent="0.2">
      <c r="A18552" t="str">
        <f>"ZNF454"</f>
        <v>ZNF454</v>
      </c>
      <c r="B18552" t="s">
        <v>8</v>
      </c>
    </row>
    <row r="18553" spans="1:2" x14ac:dyDescent="0.2">
      <c r="A18553" t="str">
        <f>"ZNF460"</f>
        <v>ZNF460</v>
      </c>
      <c r="B18553" t="s">
        <v>8</v>
      </c>
    </row>
    <row r="18554" spans="1:2" x14ac:dyDescent="0.2">
      <c r="A18554" t="str">
        <f>"ZNF461"</f>
        <v>ZNF461</v>
      </c>
      <c r="B18554" t="s">
        <v>8</v>
      </c>
    </row>
    <row r="18555" spans="1:2" x14ac:dyDescent="0.2">
      <c r="A18555" t="str">
        <f>"ZNF462"</f>
        <v>ZNF462</v>
      </c>
      <c r="B18555" t="s">
        <v>8</v>
      </c>
    </row>
    <row r="18556" spans="1:2" x14ac:dyDescent="0.2">
      <c r="A18556" t="str">
        <f>"ZNF467"</f>
        <v>ZNF467</v>
      </c>
      <c r="B18556" t="s">
        <v>8</v>
      </c>
    </row>
    <row r="18557" spans="1:2" x14ac:dyDescent="0.2">
      <c r="A18557" t="str">
        <f>"ZNF468"</f>
        <v>ZNF468</v>
      </c>
      <c r="B18557" t="s">
        <v>8</v>
      </c>
    </row>
    <row r="18558" spans="1:2" x14ac:dyDescent="0.2">
      <c r="A18558" t="str">
        <f>"ZNF469"</f>
        <v>ZNF469</v>
      </c>
      <c r="B18558" t="s">
        <v>8</v>
      </c>
    </row>
    <row r="18559" spans="1:2" x14ac:dyDescent="0.2">
      <c r="A18559" t="str">
        <f>"ZNF470"</f>
        <v>ZNF470</v>
      </c>
      <c r="B18559" t="s">
        <v>8</v>
      </c>
    </row>
    <row r="18560" spans="1:2" x14ac:dyDescent="0.2">
      <c r="A18560" t="str">
        <f>"ZNF471"</f>
        <v>ZNF471</v>
      </c>
      <c r="B18560" t="s">
        <v>8</v>
      </c>
    </row>
    <row r="18561" spans="1:2" x14ac:dyDescent="0.2">
      <c r="A18561" t="str">
        <f>"ZNF473"</f>
        <v>ZNF473</v>
      </c>
      <c r="B18561" t="s">
        <v>2</v>
      </c>
    </row>
    <row r="18562" spans="1:2" x14ac:dyDescent="0.2">
      <c r="A18562" t="str">
        <f>"ZNF474"</f>
        <v>ZNF474</v>
      </c>
      <c r="B18562" t="s">
        <v>8</v>
      </c>
    </row>
    <row r="18563" spans="1:2" x14ac:dyDescent="0.2">
      <c r="A18563" t="str">
        <f>"ZNF479"</f>
        <v>ZNF479</v>
      </c>
      <c r="B18563" t="s">
        <v>8</v>
      </c>
    </row>
    <row r="18564" spans="1:2" x14ac:dyDescent="0.2">
      <c r="A18564" t="str">
        <f>"ZNF48"</f>
        <v>ZNF48</v>
      </c>
      <c r="B18564" t="s">
        <v>8</v>
      </c>
    </row>
    <row r="18565" spans="1:2" x14ac:dyDescent="0.2">
      <c r="A18565" t="str">
        <f>"ZNF480"</f>
        <v>ZNF480</v>
      </c>
      <c r="B18565" t="s">
        <v>8</v>
      </c>
    </row>
    <row r="18566" spans="1:2" x14ac:dyDescent="0.2">
      <c r="A18566" t="str">
        <f>"ZNF483"</f>
        <v>ZNF483</v>
      </c>
      <c r="B18566" t="s">
        <v>8</v>
      </c>
    </row>
    <row r="18567" spans="1:2" x14ac:dyDescent="0.2">
      <c r="A18567" t="str">
        <f>"ZNF484"</f>
        <v>ZNF484</v>
      </c>
      <c r="B18567" t="s">
        <v>8</v>
      </c>
    </row>
    <row r="18568" spans="1:2" x14ac:dyDescent="0.2">
      <c r="A18568" t="str">
        <f>"ZNF485"</f>
        <v>ZNF485</v>
      </c>
      <c r="B18568" t="s">
        <v>8</v>
      </c>
    </row>
    <row r="18569" spans="1:2" x14ac:dyDescent="0.2">
      <c r="A18569" t="str">
        <f>"ZNF486"</f>
        <v>ZNF486</v>
      </c>
      <c r="B18569" t="s">
        <v>8</v>
      </c>
    </row>
    <row r="18570" spans="1:2" x14ac:dyDescent="0.2">
      <c r="A18570" t="str">
        <f>"ZNF488"</f>
        <v>ZNF488</v>
      </c>
      <c r="B18570" t="s">
        <v>8</v>
      </c>
    </row>
    <row r="18571" spans="1:2" x14ac:dyDescent="0.2">
      <c r="A18571" t="str">
        <f>"ZNF490"</f>
        <v>ZNF490</v>
      </c>
      <c r="B18571" t="s">
        <v>8</v>
      </c>
    </row>
    <row r="18572" spans="1:2" x14ac:dyDescent="0.2">
      <c r="A18572" t="str">
        <f>"ZNF491"</f>
        <v>ZNF491</v>
      </c>
      <c r="B18572" t="s">
        <v>8</v>
      </c>
    </row>
    <row r="18573" spans="1:2" x14ac:dyDescent="0.2">
      <c r="A18573" t="str">
        <f>"ZNF492"</f>
        <v>ZNF492</v>
      </c>
      <c r="B18573" t="s">
        <v>4</v>
      </c>
    </row>
    <row r="18574" spans="1:2" x14ac:dyDescent="0.2">
      <c r="A18574" t="str">
        <f>"ZNF493"</f>
        <v>ZNF493</v>
      </c>
      <c r="B18574" t="s">
        <v>8</v>
      </c>
    </row>
    <row r="18575" spans="1:2" x14ac:dyDescent="0.2">
      <c r="A18575" t="str">
        <f>"ZNF496"</f>
        <v>ZNF496</v>
      </c>
      <c r="B18575" t="s">
        <v>8</v>
      </c>
    </row>
    <row r="18576" spans="1:2" x14ac:dyDescent="0.2">
      <c r="A18576" t="str">
        <f>"ZNF497"</f>
        <v>ZNF497</v>
      </c>
      <c r="B18576" t="s">
        <v>3</v>
      </c>
    </row>
    <row r="18577" spans="1:2" x14ac:dyDescent="0.2">
      <c r="A18577" t="str">
        <f>"ZNF500"</f>
        <v>ZNF500</v>
      </c>
      <c r="B18577" t="s">
        <v>8</v>
      </c>
    </row>
    <row r="18578" spans="1:2" x14ac:dyDescent="0.2">
      <c r="A18578" t="str">
        <f>"ZNF501"</f>
        <v>ZNF501</v>
      </c>
      <c r="B18578" t="s">
        <v>8</v>
      </c>
    </row>
    <row r="18579" spans="1:2" x14ac:dyDescent="0.2">
      <c r="A18579" t="str">
        <f>"ZNF502"</f>
        <v>ZNF502</v>
      </c>
      <c r="B18579" t="s">
        <v>6</v>
      </c>
    </row>
    <row r="18580" spans="1:2" x14ac:dyDescent="0.2">
      <c r="A18580" t="str">
        <f>"ZNF503"</f>
        <v>ZNF503</v>
      </c>
      <c r="B18580" t="s">
        <v>8</v>
      </c>
    </row>
    <row r="18581" spans="1:2" x14ac:dyDescent="0.2">
      <c r="A18581" t="str">
        <f>"ZNF506"</f>
        <v>ZNF506</v>
      </c>
      <c r="B18581" t="s">
        <v>8</v>
      </c>
    </row>
    <row r="18582" spans="1:2" x14ac:dyDescent="0.2">
      <c r="A18582" t="str">
        <f>"ZNF507"</f>
        <v>ZNF507</v>
      </c>
      <c r="B18582" t="s">
        <v>8</v>
      </c>
    </row>
    <row r="18583" spans="1:2" x14ac:dyDescent="0.2">
      <c r="A18583" t="str">
        <f>"ZNF510"</f>
        <v>ZNF510</v>
      </c>
      <c r="B18583" t="s">
        <v>8</v>
      </c>
    </row>
    <row r="18584" spans="1:2" x14ac:dyDescent="0.2">
      <c r="A18584" t="str">
        <f>"ZNF511"</f>
        <v>ZNF511</v>
      </c>
      <c r="B18584" t="s">
        <v>8</v>
      </c>
    </row>
    <row r="18585" spans="1:2" x14ac:dyDescent="0.2">
      <c r="A18585" t="str">
        <f>"ZNF512"</f>
        <v>ZNF512</v>
      </c>
      <c r="B18585" t="s">
        <v>8</v>
      </c>
    </row>
    <row r="18586" spans="1:2" x14ac:dyDescent="0.2">
      <c r="A18586" t="str">
        <f>"ZNF512B"</f>
        <v>ZNF512B</v>
      </c>
      <c r="B18586" t="s">
        <v>8</v>
      </c>
    </row>
    <row r="18587" spans="1:2" x14ac:dyDescent="0.2">
      <c r="A18587" t="str">
        <f>"ZNF513"</f>
        <v>ZNF513</v>
      </c>
      <c r="B18587" t="s">
        <v>8</v>
      </c>
    </row>
    <row r="18588" spans="1:2" x14ac:dyDescent="0.2">
      <c r="A18588" t="str">
        <f>"ZNF514"</f>
        <v>ZNF514</v>
      </c>
      <c r="B18588" t="s">
        <v>8</v>
      </c>
    </row>
    <row r="18589" spans="1:2" x14ac:dyDescent="0.2">
      <c r="A18589" t="str">
        <f>"ZNF516"</f>
        <v>ZNF516</v>
      </c>
      <c r="B18589" t="s">
        <v>8</v>
      </c>
    </row>
    <row r="18590" spans="1:2" x14ac:dyDescent="0.2">
      <c r="A18590" t="str">
        <f>"ZNF517"</f>
        <v>ZNF517</v>
      </c>
      <c r="B18590" t="s">
        <v>8</v>
      </c>
    </row>
    <row r="18591" spans="1:2" x14ac:dyDescent="0.2">
      <c r="A18591" t="str">
        <f>"ZNF518A"</f>
        <v>ZNF518A</v>
      </c>
      <c r="B18591" t="s">
        <v>8</v>
      </c>
    </row>
    <row r="18592" spans="1:2" x14ac:dyDescent="0.2">
      <c r="A18592" t="str">
        <f>"ZNF518B"</f>
        <v>ZNF518B</v>
      </c>
      <c r="B18592" t="s">
        <v>8</v>
      </c>
    </row>
    <row r="18593" spans="1:2" x14ac:dyDescent="0.2">
      <c r="A18593" t="str">
        <f>"ZNF519"</f>
        <v>ZNF519</v>
      </c>
      <c r="B18593" t="s">
        <v>8</v>
      </c>
    </row>
    <row r="18594" spans="1:2" x14ac:dyDescent="0.2">
      <c r="A18594" t="str">
        <f>"ZNF521"</f>
        <v>ZNF521</v>
      </c>
      <c r="B18594" t="s">
        <v>3</v>
      </c>
    </row>
    <row r="18595" spans="1:2" x14ac:dyDescent="0.2">
      <c r="A18595" t="str">
        <f>"ZNF524"</f>
        <v>ZNF524</v>
      </c>
      <c r="B18595" t="s">
        <v>8</v>
      </c>
    </row>
    <row r="18596" spans="1:2" x14ac:dyDescent="0.2">
      <c r="A18596" t="str">
        <f>"ZNF526"</f>
        <v>ZNF526</v>
      </c>
      <c r="B18596" t="s">
        <v>8</v>
      </c>
    </row>
    <row r="18597" spans="1:2" x14ac:dyDescent="0.2">
      <c r="A18597" t="str">
        <f>"ZNF527"</f>
        <v>ZNF527</v>
      </c>
      <c r="B18597" t="s">
        <v>8</v>
      </c>
    </row>
    <row r="18598" spans="1:2" x14ac:dyDescent="0.2">
      <c r="A18598" t="str">
        <f>"ZNF528"</f>
        <v>ZNF528</v>
      </c>
      <c r="B18598" t="s">
        <v>8</v>
      </c>
    </row>
    <row r="18599" spans="1:2" x14ac:dyDescent="0.2">
      <c r="A18599" t="str">
        <f>"ZNF529"</f>
        <v>ZNF529</v>
      </c>
      <c r="B18599" t="s">
        <v>8</v>
      </c>
    </row>
    <row r="18600" spans="1:2" x14ac:dyDescent="0.2">
      <c r="A18600" t="str">
        <f>"ZNF530"</f>
        <v>ZNF530</v>
      </c>
      <c r="B18600" t="s">
        <v>8</v>
      </c>
    </row>
    <row r="18601" spans="1:2" x14ac:dyDescent="0.2">
      <c r="A18601" t="str">
        <f>"ZNF532"</f>
        <v>ZNF532</v>
      </c>
      <c r="B18601" t="s">
        <v>8</v>
      </c>
    </row>
    <row r="18602" spans="1:2" x14ac:dyDescent="0.2">
      <c r="A18602" t="str">
        <f>"ZNF534"</f>
        <v>ZNF534</v>
      </c>
      <c r="B18602" t="s">
        <v>8</v>
      </c>
    </row>
    <row r="18603" spans="1:2" x14ac:dyDescent="0.2">
      <c r="A18603" t="str">
        <f>"ZNF536"</f>
        <v>ZNF536</v>
      </c>
      <c r="B18603" t="s">
        <v>8</v>
      </c>
    </row>
    <row r="18604" spans="1:2" x14ac:dyDescent="0.2">
      <c r="A18604" t="str">
        <f>"ZNF540"</f>
        <v>ZNF540</v>
      </c>
      <c r="B18604" t="s">
        <v>8</v>
      </c>
    </row>
    <row r="18605" spans="1:2" x14ac:dyDescent="0.2">
      <c r="A18605" t="str">
        <f>"ZNF541"</f>
        <v>ZNF541</v>
      </c>
      <c r="B18605" t="s">
        <v>8</v>
      </c>
    </row>
    <row r="18606" spans="1:2" x14ac:dyDescent="0.2">
      <c r="A18606" t="str">
        <f>"ZNF543"</f>
        <v>ZNF543</v>
      </c>
      <c r="B18606" t="s">
        <v>8</v>
      </c>
    </row>
    <row r="18607" spans="1:2" x14ac:dyDescent="0.2">
      <c r="A18607" t="str">
        <f>"ZNF544"</f>
        <v>ZNF544</v>
      </c>
      <c r="B18607" t="s">
        <v>8</v>
      </c>
    </row>
    <row r="18608" spans="1:2" x14ac:dyDescent="0.2">
      <c r="A18608" t="str">
        <f>"ZNF546"</f>
        <v>ZNF546</v>
      </c>
      <c r="B18608" t="s">
        <v>8</v>
      </c>
    </row>
    <row r="18609" spans="1:2" x14ac:dyDescent="0.2">
      <c r="A18609" t="str">
        <f>"ZNF547"</f>
        <v>ZNF547</v>
      </c>
      <c r="B18609" t="s">
        <v>8</v>
      </c>
    </row>
    <row r="18610" spans="1:2" x14ac:dyDescent="0.2">
      <c r="A18610" t="str">
        <f>"ZNF548"</f>
        <v>ZNF548</v>
      </c>
      <c r="B18610" t="s">
        <v>8</v>
      </c>
    </row>
    <row r="18611" spans="1:2" x14ac:dyDescent="0.2">
      <c r="A18611" t="str">
        <f>"ZNF549"</f>
        <v>ZNF549</v>
      </c>
      <c r="B18611" t="s">
        <v>8</v>
      </c>
    </row>
    <row r="18612" spans="1:2" x14ac:dyDescent="0.2">
      <c r="A18612" t="str">
        <f>"ZNF550"</f>
        <v>ZNF550</v>
      </c>
      <c r="B18612" t="s">
        <v>8</v>
      </c>
    </row>
    <row r="18613" spans="1:2" x14ac:dyDescent="0.2">
      <c r="A18613" t="str">
        <f>"ZNF551"</f>
        <v>ZNF551</v>
      </c>
      <c r="B18613" t="s">
        <v>8</v>
      </c>
    </row>
    <row r="18614" spans="1:2" x14ac:dyDescent="0.2">
      <c r="A18614" t="str">
        <f>"ZNF552"</f>
        <v>ZNF552</v>
      </c>
      <c r="B18614" t="s">
        <v>8</v>
      </c>
    </row>
    <row r="18615" spans="1:2" x14ac:dyDescent="0.2">
      <c r="A18615" t="str">
        <f>"ZNF554"</f>
        <v>ZNF554</v>
      </c>
      <c r="B18615" t="s">
        <v>8</v>
      </c>
    </row>
    <row r="18616" spans="1:2" x14ac:dyDescent="0.2">
      <c r="A18616" t="str">
        <f>"ZNF555"</f>
        <v>ZNF555</v>
      </c>
      <c r="B18616" t="s">
        <v>8</v>
      </c>
    </row>
    <row r="18617" spans="1:2" x14ac:dyDescent="0.2">
      <c r="A18617" t="str">
        <f>"ZNF556"</f>
        <v>ZNF556</v>
      </c>
      <c r="B18617" t="s">
        <v>8</v>
      </c>
    </row>
    <row r="18618" spans="1:2" x14ac:dyDescent="0.2">
      <c r="A18618" t="str">
        <f>"ZNF557"</f>
        <v>ZNF557</v>
      </c>
      <c r="B18618" t="s">
        <v>8</v>
      </c>
    </row>
    <row r="18619" spans="1:2" x14ac:dyDescent="0.2">
      <c r="A18619" t="str">
        <f>"ZNF558"</f>
        <v>ZNF558</v>
      </c>
      <c r="B18619" t="s">
        <v>8</v>
      </c>
    </row>
    <row r="18620" spans="1:2" x14ac:dyDescent="0.2">
      <c r="A18620" t="str">
        <f>"ZNF559"</f>
        <v>ZNF559</v>
      </c>
      <c r="B18620" t="s">
        <v>8</v>
      </c>
    </row>
    <row r="18621" spans="1:2" x14ac:dyDescent="0.2">
      <c r="A18621" t="str">
        <f>"ZNF559-ZNF177"</f>
        <v>ZNF559-ZNF177</v>
      </c>
      <c r="B18621" t="s">
        <v>4</v>
      </c>
    </row>
    <row r="18622" spans="1:2" x14ac:dyDescent="0.2">
      <c r="A18622" t="str">
        <f>"ZNF560"</f>
        <v>ZNF560</v>
      </c>
      <c r="B18622" t="s">
        <v>8</v>
      </c>
    </row>
    <row r="18623" spans="1:2" x14ac:dyDescent="0.2">
      <c r="A18623" t="str">
        <f>"ZNF561"</f>
        <v>ZNF561</v>
      </c>
      <c r="B18623" t="s">
        <v>8</v>
      </c>
    </row>
    <row r="18624" spans="1:2" x14ac:dyDescent="0.2">
      <c r="A18624" t="str">
        <f>"ZNF562"</f>
        <v>ZNF562</v>
      </c>
      <c r="B18624" t="s">
        <v>8</v>
      </c>
    </row>
    <row r="18625" spans="1:2" x14ac:dyDescent="0.2">
      <c r="A18625" t="str">
        <f>"ZNF563"</f>
        <v>ZNF563</v>
      </c>
      <c r="B18625" t="s">
        <v>6</v>
      </c>
    </row>
    <row r="18626" spans="1:2" x14ac:dyDescent="0.2">
      <c r="A18626" t="str">
        <f>"ZNF564"</f>
        <v>ZNF564</v>
      </c>
      <c r="B18626" t="s">
        <v>8</v>
      </c>
    </row>
    <row r="18627" spans="1:2" x14ac:dyDescent="0.2">
      <c r="A18627" t="str">
        <f>"ZNF565"</f>
        <v>ZNF565</v>
      </c>
      <c r="B18627" t="s">
        <v>8</v>
      </c>
    </row>
    <row r="18628" spans="1:2" x14ac:dyDescent="0.2">
      <c r="A18628" t="str">
        <f>"ZNF566"</f>
        <v>ZNF566</v>
      </c>
      <c r="B18628" t="s">
        <v>8</v>
      </c>
    </row>
    <row r="18629" spans="1:2" x14ac:dyDescent="0.2">
      <c r="A18629" t="str">
        <f>"ZNF567"</f>
        <v>ZNF567</v>
      </c>
      <c r="B18629" t="s">
        <v>8</v>
      </c>
    </row>
    <row r="18630" spans="1:2" x14ac:dyDescent="0.2">
      <c r="A18630" t="str">
        <f>"ZNF568"</f>
        <v>ZNF568</v>
      </c>
      <c r="B18630" t="s">
        <v>8</v>
      </c>
    </row>
    <row r="18631" spans="1:2" x14ac:dyDescent="0.2">
      <c r="A18631" t="str">
        <f>"ZNF569"</f>
        <v>ZNF569</v>
      </c>
      <c r="B18631" t="s">
        <v>8</v>
      </c>
    </row>
    <row r="18632" spans="1:2" x14ac:dyDescent="0.2">
      <c r="A18632" t="str">
        <f>"ZNF57"</f>
        <v>ZNF57</v>
      </c>
      <c r="B18632" t="s">
        <v>8</v>
      </c>
    </row>
    <row r="18633" spans="1:2" x14ac:dyDescent="0.2">
      <c r="A18633" t="str">
        <f>"ZNF570"</f>
        <v>ZNF570</v>
      </c>
      <c r="B18633" t="s">
        <v>8</v>
      </c>
    </row>
    <row r="18634" spans="1:2" x14ac:dyDescent="0.2">
      <c r="A18634" t="str">
        <f>"ZNF571"</f>
        <v>ZNF571</v>
      </c>
      <c r="B18634" t="s">
        <v>8</v>
      </c>
    </row>
    <row r="18635" spans="1:2" x14ac:dyDescent="0.2">
      <c r="A18635" t="str">
        <f>"ZNF572"</f>
        <v>ZNF572</v>
      </c>
      <c r="B18635" t="s">
        <v>8</v>
      </c>
    </row>
    <row r="18636" spans="1:2" x14ac:dyDescent="0.2">
      <c r="A18636" t="str">
        <f>"ZNF573"</f>
        <v>ZNF573</v>
      </c>
      <c r="B18636" t="s">
        <v>8</v>
      </c>
    </row>
    <row r="18637" spans="1:2" x14ac:dyDescent="0.2">
      <c r="A18637" t="str">
        <f>"ZNF574"</f>
        <v>ZNF574</v>
      </c>
      <c r="B18637" t="s">
        <v>8</v>
      </c>
    </row>
    <row r="18638" spans="1:2" x14ac:dyDescent="0.2">
      <c r="A18638" t="str">
        <f>"ZNF575"</f>
        <v>ZNF575</v>
      </c>
      <c r="B18638" t="s">
        <v>8</v>
      </c>
    </row>
    <row r="18639" spans="1:2" x14ac:dyDescent="0.2">
      <c r="A18639" t="str">
        <f>"ZNF576"</f>
        <v>ZNF576</v>
      </c>
      <c r="B18639" t="s">
        <v>8</v>
      </c>
    </row>
    <row r="18640" spans="1:2" x14ac:dyDescent="0.2">
      <c r="A18640" t="str">
        <f>"ZNF577"</f>
        <v>ZNF577</v>
      </c>
      <c r="B18640" t="s">
        <v>8</v>
      </c>
    </row>
    <row r="18641" spans="1:2" x14ac:dyDescent="0.2">
      <c r="A18641" t="str">
        <f>"ZNF578"</f>
        <v>ZNF578</v>
      </c>
      <c r="B18641" t="s">
        <v>8</v>
      </c>
    </row>
    <row r="18642" spans="1:2" x14ac:dyDescent="0.2">
      <c r="A18642" t="str">
        <f>"ZNF579"</f>
        <v>ZNF579</v>
      </c>
      <c r="B18642" t="s">
        <v>8</v>
      </c>
    </row>
    <row r="18643" spans="1:2" x14ac:dyDescent="0.2">
      <c r="A18643" t="str">
        <f>"ZNF580"</f>
        <v>ZNF580</v>
      </c>
      <c r="B18643" t="s">
        <v>8</v>
      </c>
    </row>
    <row r="18644" spans="1:2" x14ac:dyDescent="0.2">
      <c r="A18644" t="str">
        <f>"ZNF581"</f>
        <v>ZNF581</v>
      </c>
      <c r="B18644" t="s">
        <v>8</v>
      </c>
    </row>
    <row r="18645" spans="1:2" x14ac:dyDescent="0.2">
      <c r="A18645" t="str">
        <f>"ZNF582"</f>
        <v>ZNF582</v>
      </c>
      <c r="B18645" t="s">
        <v>8</v>
      </c>
    </row>
    <row r="18646" spans="1:2" x14ac:dyDescent="0.2">
      <c r="A18646" t="str">
        <f>"ZNF583"</f>
        <v>ZNF583</v>
      </c>
      <c r="B18646" t="s">
        <v>8</v>
      </c>
    </row>
    <row r="18647" spans="1:2" x14ac:dyDescent="0.2">
      <c r="A18647" t="str">
        <f>"ZNF584"</f>
        <v>ZNF584</v>
      </c>
      <c r="B18647" t="s">
        <v>8</v>
      </c>
    </row>
    <row r="18648" spans="1:2" x14ac:dyDescent="0.2">
      <c r="A18648" t="str">
        <f>"ZNF585A"</f>
        <v>ZNF585A</v>
      </c>
      <c r="B18648" t="s">
        <v>8</v>
      </c>
    </row>
    <row r="18649" spans="1:2" x14ac:dyDescent="0.2">
      <c r="A18649" t="str">
        <f>"ZNF585B"</f>
        <v>ZNF585B</v>
      </c>
      <c r="B18649" t="s">
        <v>8</v>
      </c>
    </row>
    <row r="18650" spans="1:2" x14ac:dyDescent="0.2">
      <c r="A18650" t="str">
        <f>"ZNF586"</f>
        <v>ZNF586</v>
      </c>
      <c r="B18650" t="s">
        <v>8</v>
      </c>
    </row>
    <row r="18651" spans="1:2" x14ac:dyDescent="0.2">
      <c r="A18651" t="str">
        <f>"ZNF587"</f>
        <v>ZNF587</v>
      </c>
      <c r="B18651" t="s">
        <v>8</v>
      </c>
    </row>
    <row r="18652" spans="1:2" x14ac:dyDescent="0.2">
      <c r="A18652" t="str">
        <f>"ZNF587B"</f>
        <v>ZNF587B</v>
      </c>
      <c r="B18652" t="s">
        <v>4</v>
      </c>
    </row>
    <row r="18653" spans="1:2" x14ac:dyDescent="0.2">
      <c r="A18653" t="str">
        <f>"ZNF589"</f>
        <v>ZNF589</v>
      </c>
      <c r="B18653" t="s">
        <v>8</v>
      </c>
    </row>
    <row r="18654" spans="1:2" x14ac:dyDescent="0.2">
      <c r="A18654" t="str">
        <f>"ZNF592"</f>
        <v>ZNF592</v>
      </c>
      <c r="B18654" t="s">
        <v>8</v>
      </c>
    </row>
    <row r="18655" spans="1:2" x14ac:dyDescent="0.2">
      <c r="A18655" t="str">
        <f>"ZNF593"</f>
        <v>ZNF593</v>
      </c>
      <c r="B18655" t="s">
        <v>8</v>
      </c>
    </row>
    <row r="18656" spans="1:2" x14ac:dyDescent="0.2">
      <c r="A18656" t="str">
        <f>"ZNF594"</f>
        <v>ZNF594</v>
      </c>
      <c r="B18656" t="s">
        <v>8</v>
      </c>
    </row>
    <row r="18657" spans="1:2" x14ac:dyDescent="0.2">
      <c r="A18657" t="str">
        <f>"ZNF595"</f>
        <v>ZNF595</v>
      </c>
      <c r="B18657" t="s">
        <v>8</v>
      </c>
    </row>
    <row r="18658" spans="1:2" x14ac:dyDescent="0.2">
      <c r="A18658" t="str">
        <f>"ZNF596"</f>
        <v>ZNF596</v>
      </c>
      <c r="B18658" t="s">
        <v>8</v>
      </c>
    </row>
    <row r="18659" spans="1:2" x14ac:dyDescent="0.2">
      <c r="A18659" t="str">
        <f>"ZNF597"</f>
        <v>ZNF597</v>
      </c>
      <c r="B18659" t="s">
        <v>8</v>
      </c>
    </row>
    <row r="18660" spans="1:2" x14ac:dyDescent="0.2">
      <c r="A18660" t="str">
        <f>"ZNF598"</f>
        <v>ZNF598</v>
      </c>
      <c r="B18660" t="s">
        <v>2</v>
      </c>
    </row>
    <row r="18661" spans="1:2" x14ac:dyDescent="0.2">
      <c r="A18661" t="str">
        <f>"ZNF599"</f>
        <v>ZNF599</v>
      </c>
      <c r="B18661" t="s">
        <v>8</v>
      </c>
    </row>
    <row r="18662" spans="1:2" x14ac:dyDescent="0.2">
      <c r="A18662" t="str">
        <f>"ZNF600"</f>
        <v>ZNF600</v>
      </c>
      <c r="B18662" t="s">
        <v>8</v>
      </c>
    </row>
    <row r="18663" spans="1:2" x14ac:dyDescent="0.2">
      <c r="A18663" t="str">
        <f>"ZNF605"</f>
        <v>ZNF605</v>
      </c>
      <c r="B18663" t="s">
        <v>8</v>
      </c>
    </row>
    <row r="18664" spans="1:2" x14ac:dyDescent="0.2">
      <c r="A18664" t="str">
        <f>"ZNF606"</f>
        <v>ZNF606</v>
      </c>
      <c r="B18664" t="s">
        <v>8</v>
      </c>
    </row>
    <row r="18665" spans="1:2" x14ac:dyDescent="0.2">
      <c r="A18665" t="str">
        <f>"ZNF607"</f>
        <v>ZNF607</v>
      </c>
      <c r="B18665" t="s">
        <v>6</v>
      </c>
    </row>
    <row r="18666" spans="1:2" x14ac:dyDescent="0.2">
      <c r="A18666" t="str">
        <f>"ZNF608"</f>
        <v>ZNF608</v>
      </c>
      <c r="B18666" t="s">
        <v>3</v>
      </c>
    </row>
    <row r="18667" spans="1:2" x14ac:dyDescent="0.2">
      <c r="A18667" t="str">
        <f>"ZNF609"</f>
        <v>ZNF609</v>
      </c>
      <c r="B18667" t="s">
        <v>2</v>
      </c>
    </row>
    <row r="18668" spans="1:2" x14ac:dyDescent="0.2">
      <c r="A18668" t="str">
        <f>"ZNF610"</f>
        <v>ZNF610</v>
      </c>
      <c r="B18668" t="s">
        <v>8</v>
      </c>
    </row>
    <row r="18669" spans="1:2" x14ac:dyDescent="0.2">
      <c r="A18669" t="str">
        <f>"ZNF611"</f>
        <v>ZNF611</v>
      </c>
      <c r="B18669" t="s">
        <v>8</v>
      </c>
    </row>
    <row r="18670" spans="1:2" x14ac:dyDescent="0.2">
      <c r="A18670" t="str">
        <f>"ZNF613"</f>
        <v>ZNF613</v>
      </c>
      <c r="B18670" t="s">
        <v>8</v>
      </c>
    </row>
    <row r="18671" spans="1:2" x14ac:dyDescent="0.2">
      <c r="A18671" t="str">
        <f>"ZNF614"</f>
        <v>ZNF614</v>
      </c>
      <c r="B18671" t="s">
        <v>8</v>
      </c>
    </row>
    <row r="18672" spans="1:2" x14ac:dyDescent="0.2">
      <c r="A18672" t="str">
        <f>"ZNF615"</f>
        <v>ZNF615</v>
      </c>
      <c r="B18672" t="s">
        <v>8</v>
      </c>
    </row>
    <row r="18673" spans="1:2" x14ac:dyDescent="0.2">
      <c r="A18673" t="str">
        <f>"ZNF616"</f>
        <v>ZNF616</v>
      </c>
      <c r="B18673" t="s">
        <v>8</v>
      </c>
    </row>
    <row r="18674" spans="1:2" x14ac:dyDescent="0.2">
      <c r="A18674" t="str">
        <f>"ZNF618"</f>
        <v>ZNF618</v>
      </c>
      <c r="B18674" t="s">
        <v>8</v>
      </c>
    </row>
    <row r="18675" spans="1:2" x14ac:dyDescent="0.2">
      <c r="A18675" t="str">
        <f>"ZNF619"</f>
        <v>ZNF619</v>
      </c>
      <c r="B18675" t="s">
        <v>8</v>
      </c>
    </row>
    <row r="18676" spans="1:2" x14ac:dyDescent="0.2">
      <c r="A18676" t="str">
        <f>"ZNF620"</f>
        <v>ZNF620</v>
      </c>
      <c r="B18676" t="s">
        <v>8</v>
      </c>
    </row>
    <row r="18677" spans="1:2" x14ac:dyDescent="0.2">
      <c r="A18677" t="str">
        <f>"ZNF621"</f>
        <v>ZNF621</v>
      </c>
      <c r="B18677" t="s">
        <v>8</v>
      </c>
    </row>
    <row r="18678" spans="1:2" x14ac:dyDescent="0.2">
      <c r="A18678" t="str">
        <f>"ZNF622"</f>
        <v>ZNF622</v>
      </c>
      <c r="B18678" t="s">
        <v>3</v>
      </c>
    </row>
    <row r="18679" spans="1:2" x14ac:dyDescent="0.2">
      <c r="A18679" t="str">
        <f>"ZNF623"</f>
        <v>ZNF623</v>
      </c>
      <c r="B18679" t="s">
        <v>8</v>
      </c>
    </row>
    <row r="18680" spans="1:2" x14ac:dyDescent="0.2">
      <c r="A18680" t="str">
        <f>"ZNF624"</f>
        <v>ZNF624</v>
      </c>
      <c r="B18680" t="s">
        <v>8</v>
      </c>
    </row>
    <row r="18681" spans="1:2" x14ac:dyDescent="0.2">
      <c r="A18681" t="str">
        <f>"ZNF625"</f>
        <v>ZNF625</v>
      </c>
      <c r="B18681" t="s">
        <v>8</v>
      </c>
    </row>
    <row r="18682" spans="1:2" x14ac:dyDescent="0.2">
      <c r="A18682" t="str">
        <f>"ZNF626"</f>
        <v>ZNF626</v>
      </c>
      <c r="B18682" t="s">
        <v>8</v>
      </c>
    </row>
    <row r="18683" spans="1:2" x14ac:dyDescent="0.2">
      <c r="A18683" t="str">
        <f>"ZNF627"</f>
        <v>ZNF627</v>
      </c>
      <c r="B18683" t="s">
        <v>8</v>
      </c>
    </row>
    <row r="18684" spans="1:2" x14ac:dyDescent="0.2">
      <c r="A18684" t="str">
        <f>"ZNF628"</f>
        <v>ZNF628</v>
      </c>
      <c r="B18684" t="s">
        <v>8</v>
      </c>
    </row>
    <row r="18685" spans="1:2" x14ac:dyDescent="0.2">
      <c r="A18685" t="str">
        <f>"ZNF629"</f>
        <v>ZNF629</v>
      </c>
      <c r="B18685" t="s">
        <v>8</v>
      </c>
    </row>
    <row r="18686" spans="1:2" x14ac:dyDescent="0.2">
      <c r="A18686" t="str">
        <f>"ZNF630"</f>
        <v>ZNF630</v>
      </c>
      <c r="B18686" t="s">
        <v>8</v>
      </c>
    </row>
    <row r="18687" spans="1:2" x14ac:dyDescent="0.2">
      <c r="A18687" t="str">
        <f>"ZNF638"</f>
        <v>ZNF638</v>
      </c>
      <c r="B18687" t="s">
        <v>8</v>
      </c>
    </row>
    <row r="18688" spans="1:2" x14ac:dyDescent="0.2">
      <c r="A18688" t="str">
        <f>"ZNF639"</f>
        <v>ZNF639</v>
      </c>
      <c r="B18688" t="s">
        <v>8</v>
      </c>
    </row>
    <row r="18689" spans="1:2" x14ac:dyDescent="0.2">
      <c r="A18689" t="str">
        <f>"ZNF641"</f>
        <v>ZNF641</v>
      </c>
      <c r="B18689" t="s">
        <v>8</v>
      </c>
    </row>
    <row r="18690" spans="1:2" x14ac:dyDescent="0.2">
      <c r="A18690" t="str">
        <f>"ZNF644"</f>
        <v>ZNF644</v>
      </c>
      <c r="B18690" t="s">
        <v>8</v>
      </c>
    </row>
    <row r="18691" spans="1:2" x14ac:dyDescent="0.2">
      <c r="A18691" t="str">
        <f>"ZNF645"</f>
        <v>ZNF645</v>
      </c>
      <c r="B18691" t="s">
        <v>2</v>
      </c>
    </row>
    <row r="18692" spans="1:2" x14ac:dyDescent="0.2">
      <c r="A18692" t="str">
        <f>"ZNF646"</f>
        <v>ZNF646</v>
      </c>
      <c r="B18692" t="s">
        <v>3</v>
      </c>
    </row>
    <row r="18693" spans="1:2" x14ac:dyDescent="0.2">
      <c r="A18693" t="str">
        <f>"ZNF648"</f>
        <v>ZNF648</v>
      </c>
      <c r="B18693" t="s">
        <v>8</v>
      </c>
    </row>
    <row r="18694" spans="1:2" x14ac:dyDescent="0.2">
      <c r="A18694" t="str">
        <f>"ZNF649"</f>
        <v>ZNF649</v>
      </c>
      <c r="B18694" t="s">
        <v>8</v>
      </c>
    </row>
    <row r="18695" spans="1:2" x14ac:dyDescent="0.2">
      <c r="A18695" t="str">
        <f>"ZNF652"</f>
        <v>ZNF652</v>
      </c>
      <c r="B18695" t="s">
        <v>8</v>
      </c>
    </row>
    <row r="18696" spans="1:2" x14ac:dyDescent="0.2">
      <c r="A18696" t="str">
        <f>"ZNF653"</f>
        <v>ZNF653</v>
      </c>
      <c r="B18696" t="s">
        <v>8</v>
      </c>
    </row>
    <row r="18697" spans="1:2" x14ac:dyDescent="0.2">
      <c r="A18697" t="str">
        <f>"ZNF654"</f>
        <v>ZNF654</v>
      </c>
      <c r="B18697" t="s">
        <v>8</v>
      </c>
    </row>
    <row r="18698" spans="1:2" x14ac:dyDescent="0.2">
      <c r="A18698" t="str">
        <f>"ZNF655"</f>
        <v>ZNF655</v>
      </c>
      <c r="B18698" t="s">
        <v>8</v>
      </c>
    </row>
    <row r="18699" spans="1:2" x14ac:dyDescent="0.2">
      <c r="A18699" t="str">
        <f>"ZNF658"</f>
        <v>ZNF658</v>
      </c>
      <c r="B18699" t="s">
        <v>8</v>
      </c>
    </row>
    <row r="18700" spans="1:2" x14ac:dyDescent="0.2">
      <c r="A18700" t="str">
        <f>"ZNF660"</f>
        <v>ZNF660</v>
      </c>
      <c r="B18700" t="s">
        <v>8</v>
      </c>
    </row>
    <row r="18701" spans="1:2" x14ac:dyDescent="0.2">
      <c r="A18701" t="str">
        <f>"ZNF662"</f>
        <v>ZNF662</v>
      </c>
      <c r="B18701" t="s">
        <v>8</v>
      </c>
    </row>
    <row r="18702" spans="1:2" x14ac:dyDescent="0.2">
      <c r="A18702" t="str">
        <f>"ZNF664"</f>
        <v>ZNF664</v>
      </c>
      <c r="B18702" t="s">
        <v>8</v>
      </c>
    </row>
    <row r="18703" spans="1:2" x14ac:dyDescent="0.2">
      <c r="A18703" t="str">
        <f>"ZNF664-FAM101A"</f>
        <v>ZNF664-FAM101A</v>
      </c>
      <c r="B18703" t="s">
        <v>4</v>
      </c>
    </row>
    <row r="18704" spans="1:2" x14ac:dyDescent="0.2">
      <c r="A18704" t="str">
        <f>"ZNF665"</f>
        <v>ZNF665</v>
      </c>
      <c r="B18704" t="s">
        <v>8</v>
      </c>
    </row>
    <row r="18705" spans="1:2" x14ac:dyDescent="0.2">
      <c r="A18705" t="str">
        <f>"ZNF667"</f>
        <v>ZNF667</v>
      </c>
      <c r="B18705" t="s">
        <v>8</v>
      </c>
    </row>
    <row r="18706" spans="1:2" x14ac:dyDescent="0.2">
      <c r="A18706" t="str">
        <f>"ZNF668"</f>
        <v>ZNF668</v>
      </c>
      <c r="B18706" t="s">
        <v>3</v>
      </c>
    </row>
    <row r="18707" spans="1:2" x14ac:dyDescent="0.2">
      <c r="A18707" t="str">
        <f>"ZNF669"</f>
        <v>ZNF669</v>
      </c>
      <c r="B18707" t="s">
        <v>8</v>
      </c>
    </row>
    <row r="18708" spans="1:2" x14ac:dyDescent="0.2">
      <c r="A18708" t="str">
        <f>"ZNF670"</f>
        <v>ZNF670</v>
      </c>
      <c r="B18708" t="s">
        <v>8</v>
      </c>
    </row>
    <row r="18709" spans="1:2" x14ac:dyDescent="0.2">
      <c r="A18709" t="str">
        <f>"ZNF671"</f>
        <v>ZNF671</v>
      </c>
      <c r="B18709" t="s">
        <v>8</v>
      </c>
    </row>
    <row r="18710" spans="1:2" x14ac:dyDescent="0.2">
      <c r="A18710" t="str">
        <f>"ZNF672"</f>
        <v>ZNF672</v>
      </c>
      <c r="B18710" t="s">
        <v>8</v>
      </c>
    </row>
    <row r="18711" spans="1:2" x14ac:dyDescent="0.2">
      <c r="A18711" t="str">
        <f>"ZNF674"</f>
        <v>ZNF674</v>
      </c>
      <c r="B18711" t="s">
        <v>8</v>
      </c>
    </row>
    <row r="18712" spans="1:2" x14ac:dyDescent="0.2">
      <c r="A18712" t="str">
        <f>"ZNF675"</f>
        <v>ZNF675</v>
      </c>
      <c r="B18712" t="s">
        <v>8</v>
      </c>
    </row>
    <row r="18713" spans="1:2" x14ac:dyDescent="0.2">
      <c r="A18713" t="str">
        <f>"ZNF676"</f>
        <v>ZNF676</v>
      </c>
      <c r="B18713" t="s">
        <v>8</v>
      </c>
    </row>
    <row r="18714" spans="1:2" x14ac:dyDescent="0.2">
      <c r="A18714" t="str">
        <f>"ZNF677"</f>
        <v>ZNF677</v>
      </c>
      <c r="B18714" t="s">
        <v>8</v>
      </c>
    </row>
    <row r="18715" spans="1:2" x14ac:dyDescent="0.2">
      <c r="A18715" t="str">
        <f>"ZNF678"</f>
        <v>ZNF678</v>
      </c>
      <c r="B18715" t="s">
        <v>8</v>
      </c>
    </row>
    <row r="18716" spans="1:2" x14ac:dyDescent="0.2">
      <c r="A18716" t="str">
        <f>"ZNF679"</f>
        <v>ZNF679</v>
      </c>
      <c r="B18716" t="s">
        <v>8</v>
      </c>
    </row>
    <row r="18717" spans="1:2" x14ac:dyDescent="0.2">
      <c r="A18717" t="str">
        <f>"ZNF680"</f>
        <v>ZNF680</v>
      </c>
      <c r="B18717" t="s">
        <v>8</v>
      </c>
    </row>
    <row r="18718" spans="1:2" x14ac:dyDescent="0.2">
      <c r="A18718" t="str">
        <f>"ZNF681"</f>
        <v>ZNF681</v>
      </c>
      <c r="B18718" t="s">
        <v>8</v>
      </c>
    </row>
    <row r="18719" spans="1:2" x14ac:dyDescent="0.2">
      <c r="A18719" t="str">
        <f>"ZNF682"</f>
        <v>ZNF682</v>
      </c>
      <c r="B18719" t="s">
        <v>8</v>
      </c>
    </row>
    <row r="18720" spans="1:2" x14ac:dyDescent="0.2">
      <c r="A18720" t="str">
        <f>"ZNF683"</f>
        <v>ZNF683</v>
      </c>
      <c r="B18720" t="s">
        <v>8</v>
      </c>
    </row>
    <row r="18721" spans="1:2" x14ac:dyDescent="0.2">
      <c r="A18721" t="str">
        <f>"ZNF684"</f>
        <v>ZNF684</v>
      </c>
      <c r="B18721" t="s">
        <v>8</v>
      </c>
    </row>
    <row r="18722" spans="1:2" x14ac:dyDescent="0.2">
      <c r="A18722" t="str">
        <f>"ZNF687"</f>
        <v>ZNF687</v>
      </c>
      <c r="B18722" t="s">
        <v>8</v>
      </c>
    </row>
    <row r="18723" spans="1:2" x14ac:dyDescent="0.2">
      <c r="A18723" t="str">
        <f>"ZNF688"</f>
        <v>ZNF688</v>
      </c>
      <c r="B18723" t="s">
        <v>8</v>
      </c>
    </row>
    <row r="18724" spans="1:2" x14ac:dyDescent="0.2">
      <c r="A18724" t="str">
        <f>"ZNF689"</f>
        <v>ZNF689</v>
      </c>
      <c r="B18724" t="s">
        <v>8</v>
      </c>
    </row>
    <row r="18725" spans="1:2" x14ac:dyDescent="0.2">
      <c r="A18725" t="str">
        <f>"ZNF69"</f>
        <v>ZNF69</v>
      </c>
      <c r="B18725" t="s">
        <v>8</v>
      </c>
    </row>
    <row r="18726" spans="1:2" x14ac:dyDescent="0.2">
      <c r="A18726" t="str">
        <f>"ZNF691"</f>
        <v>ZNF691</v>
      </c>
      <c r="B18726" t="s">
        <v>8</v>
      </c>
    </row>
    <row r="18727" spans="1:2" x14ac:dyDescent="0.2">
      <c r="A18727" t="str">
        <f>"ZNF692"</f>
        <v>ZNF692</v>
      </c>
      <c r="B18727" t="s">
        <v>6</v>
      </c>
    </row>
    <row r="18728" spans="1:2" x14ac:dyDescent="0.2">
      <c r="A18728" t="str">
        <f>"ZNF695"</f>
        <v>ZNF695</v>
      </c>
      <c r="B18728" t="s">
        <v>8</v>
      </c>
    </row>
    <row r="18729" spans="1:2" x14ac:dyDescent="0.2">
      <c r="A18729" t="str">
        <f>"ZNF696"</f>
        <v>ZNF696</v>
      </c>
      <c r="B18729" t="s">
        <v>6</v>
      </c>
    </row>
    <row r="18730" spans="1:2" x14ac:dyDescent="0.2">
      <c r="A18730" t="str">
        <f>"ZNF697"</f>
        <v>ZNF697</v>
      </c>
      <c r="B18730" t="s">
        <v>8</v>
      </c>
    </row>
    <row r="18731" spans="1:2" x14ac:dyDescent="0.2">
      <c r="A18731" t="str">
        <f>"ZNF699"</f>
        <v>ZNF699</v>
      </c>
      <c r="B18731" t="s">
        <v>8</v>
      </c>
    </row>
    <row r="18732" spans="1:2" x14ac:dyDescent="0.2">
      <c r="A18732" t="str">
        <f>"ZNF7"</f>
        <v>ZNF7</v>
      </c>
      <c r="B18732" t="s">
        <v>8</v>
      </c>
    </row>
    <row r="18733" spans="1:2" x14ac:dyDescent="0.2">
      <c r="A18733" t="str">
        <f>"ZNF70"</f>
        <v>ZNF70</v>
      </c>
      <c r="B18733" t="s">
        <v>8</v>
      </c>
    </row>
    <row r="18734" spans="1:2" x14ac:dyDescent="0.2">
      <c r="A18734" t="str">
        <f>"ZNF700"</f>
        <v>ZNF700</v>
      </c>
      <c r="B18734" t="s">
        <v>8</v>
      </c>
    </row>
    <row r="18735" spans="1:2" x14ac:dyDescent="0.2">
      <c r="A18735" t="str">
        <f>"ZNF701"</f>
        <v>ZNF701</v>
      </c>
      <c r="B18735" t="s">
        <v>8</v>
      </c>
    </row>
    <row r="18736" spans="1:2" x14ac:dyDescent="0.2">
      <c r="A18736" t="str">
        <f>"ZNF703"</f>
        <v>ZNF703</v>
      </c>
      <c r="B18736" t="s">
        <v>8</v>
      </c>
    </row>
    <row r="18737" spans="1:2" x14ac:dyDescent="0.2">
      <c r="A18737" t="str">
        <f>"ZNF704"</f>
        <v>ZNF704</v>
      </c>
      <c r="B18737" t="s">
        <v>8</v>
      </c>
    </row>
    <row r="18738" spans="1:2" x14ac:dyDescent="0.2">
      <c r="A18738" t="str">
        <f>"ZNF705A"</f>
        <v>ZNF705A</v>
      </c>
      <c r="B18738" t="s">
        <v>8</v>
      </c>
    </row>
    <row r="18739" spans="1:2" x14ac:dyDescent="0.2">
      <c r="A18739" t="str">
        <f>"ZNF705B"</f>
        <v>ZNF705B</v>
      </c>
      <c r="B18739" t="s">
        <v>8</v>
      </c>
    </row>
    <row r="18740" spans="1:2" x14ac:dyDescent="0.2">
      <c r="A18740" t="str">
        <f>"ZNF705D"</f>
        <v>ZNF705D</v>
      </c>
      <c r="B18740" t="s">
        <v>8</v>
      </c>
    </row>
    <row r="18741" spans="1:2" x14ac:dyDescent="0.2">
      <c r="A18741" t="str">
        <f>"ZNF705G"</f>
        <v>ZNF705G</v>
      </c>
      <c r="B18741" t="s">
        <v>8</v>
      </c>
    </row>
    <row r="18742" spans="1:2" x14ac:dyDescent="0.2">
      <c r="A18742" t="str">
        <f>"ZNF706"</f>
        <v>ZNF706</v>
      </c>
      <c r="B18742" t="s">
        <v>8</v>
      </c>
    </row>
    <row r="18743" spans="1:2" x14ac:dyDescent="0.2">
      <c r="A18743" t="str">
        <f>"ZNF707"</f>
        <v>ZNF707</v>
      </c>
      <c r="B18743" t="s">
        <v>8</v>
      </c>
    </row>
    <row r="18744" spans="1:2" x14ac:dyDescent="0.2">
      <c r="A18744" t="str">
        <f>"ZNF708"</f>
        <v>ZNF708</v>
      </c>
      <c r="B18744" t="s">
        <v>2</v>
      </c>
    </row>
    <row r="18745" spans="1:2" x14ac:dyDescent="0.2">
      <c r="A18745" t="str">
        <f>"ZNF709"</f>
        <v>ZNF709</v>
      </c>
      <c r="B18745" t="s">
        <v>8</v>
      </c>
    </row>
    <row r="18746" spans="1:2" x14ac:dyDescent="0.2">
      <c r="A18746" t="str">
        <f>"ZNF71"</f>
        <v>ZNF71</v>
      </c>
      <c r="B18746" t="s">
        <v>8</v>
      </c>
    </row>
    <row r="18747" spans="1:2" x14ac:dyDescent="0.2">
      <c r="A18747" t="str">
        <f>"ZNF710"</f>
        <v>ZNF710</v>
      </c>
      <c r="B18747" t="s">
        <v>8</v>
      </c>
    </row>
    <row r="18748" spans="1:2" x14ac:dyDescent="0.2">
      <c r="A18748" t="str">
        <f>"ZNF711"</f>
        <v>ZNF711</v>
      </c>
      <c r="B18748" t="s">
        <v>8</v>
      </c>
    </row>
    <row r="18749" spans="1:2" x14ac:dyDescent="0.2">
      <c r="A18749" t="str">
        <f>"ZNF713"</f>
        <v>ZNF713</v>
      </c>
      <c r="B18749" t="s">
        <v>8</v>
      </c>
    </row>
    <row r="18750" spans="1:2" x14ac:dyDescent="0.2">
      <c r="A18750" t="str">
        <f>"ZNF714"</f>
        <v>ZNF714</v>
      </c>
      <c r="B18750" t="s">
        <v>8</v>
      </c>
    </row>
    <row r="18751" spans="1:2" x14ac:dyDescent="0.2">
      <c r="A18751" t="str">
        <f>"ZNF716"</f>
        <v>ZNF716</v>
      </c>
      <c r="B18751" t="s">
        <v>8</v>
      </c>
    </row>
    <row r="18752" spans="1:2" x14ac:dyDescent="0.2">
      <c r="A18752" t="str">
        <f>"ZNF717"</f>
        <v>ZNF717</v>
      </c>
      <c r="B18752" t="s">
        <v>8</v>
      </c>
    </row>
    <row r="18753" spans="1:2" x14ac:dyDescent="0.2">
      <c r="A18753" t="str">
        <f>"ZNF718"</f>
        <v>ZNF718</v>
      </c>
      <c r="B18753" t="s">
        <v>8</v>
      </c>
    </row>
    <row r="18754" spans="1:2" x14ac:dyDescent="0.2">
      <c r="A18754" t="str">
        <f>"ZNF720"</f>
        <v>ZNF720</v>
      </c>
      <c r="B18754" t="s">
        <v>8</v>
      </c>
    </row>
    <row r="18755" spans="1:2" x14ac:dyDescent="0.2">
      <c r="A18755" t="str">
        <f>"ZNF721"</f>
        <v>ZNF721</v>
      </c>
      <c r="B18755" t="s">
        <v>8</v>
      </c>
    </row>
    <row r="18756" spans="1:2" x14ac:dyDescent="0.2">
      <c r="A18756" t="str">
        <f>"ZNF726"</f>
        <v>ZNF726</v>
      </c>
      <c r="B18756" t="s">
        <v>4</v>
      </c>
    </row>
    <row r="18757" spans="1:2" x14ac:dyDescent="0.2">
      <c r="A18757" t="str">
        <f>"ZNF727"</f>
        <v>ZNF727</v>
      </c>
      <c r="B18757" t="s">
        <v>4</v>
      </c>
    </row>
    <row r="18758" spans="1:2" x14ac:dyDescent="0.2">
      <c r="A18758" t="str">
        <f>"ZNF728"</f>
        <v>ZNF728</v>
      </c>
      <c r="B18758" t="s">
        <v>4</v>
      </c>
    </row>
    <row r="18759" spans="1:2" x14ac:dyDescent="0.2">
      <c r="A18759" t="str">
        <f>"ZNF729"</f>
        <v>ZNF729</v>
      </c>
      <c r="B18759" t="s">
        <v>8</v>
      </c>
    </row>
    <row r="18760" spans="1:2" x14ac:dyDescent="0.2">
      <c r="A18760" t="str">
        <f>"ZNF730"</f>
        <v>ZNF730</v>
      </c>
      <c r="B18760" t="s">
        <v>8</v>
      </c>
    </row>
    <row r="18761" spans="1:2" x14ac:dyDescent="0.2">
      <c r="A18761" t="str">
        <f>"ZNF732"</f>
        <v>ZNF732</v>
      </c>
      <c r="B18761" t="s">
        <v>4</v>
      </c>
    </row>
    <row r="18762" spans="1:2" x14ac:dyDescent="0.2">
      <c r="A18762" t="str">
        <f>"ZNF735"</f>
        <v>ZNF735</v>
      </c>
      <c r="B18762" t="s">
        <v>4</v>
      </c>
    </row>
    <row r="18763" spans="1:2" x14ac:dyDescent="0.2">
      <c r="A18763" t="str">
        <f>"ZNF736"</f>
        <v>ZNF736</v>
      </c>
      <c r="B18763" t="s">
        <v>8</v>
      </c>
    </row>
    <row r="18764" spans="1:2" x14ac:dyDescent="0.2">
      <c r="A18764" t="str">
        <f>"ZNF737"</f>
        <v>ZNF737</v>
      </c>
      <c r="B18764" t="s">
        <v>4</v>
      </c>
    </row>
    <row r="18765" spans="1:2" x14ac:dyDescent="0.2">
      <c r="A18765" t="str">
        <f>"ZNF74"</f>
        <v>ZNF74</v>
      </c>
      <c r="B18765" t="s">
        <v>8</v>
      </c>
    </row>
    <row r="18766" spans="1:2" x14ac:dyDescent="0.2">
      <c r="A18766" t="str">
        <f>"ZNF740"</f>
        <v>ZNF740</v>
      </c>
      <c r="B18766" t="s">
        <v>8</v>
      </c>
    </row>
    <row r="18767" spans="1:2" x14ac:dyDescent="0.2">
      <c r="A18767" t="str">
        <f>"ZNF746"</f>
        <v>ZNF746</v>
      </c>
      <c r="B18767" t="s">
        <v>8</v>
      </c>
    </row>
    <row r="18768" spans="1:2" x14ac:dyDescent="0.2">
      <c r="A18768" t="str">
        <f>"ZNF747"</f>
        <v>ZNF747</v>
      </c>
      <c r="B18768" t="s">
        <v>8</v>
      </c>
    </row>
    <row r="18769" spans="1:2" x14ac:dyDescent="0.2">
      <c r="A18769" t="str">
        <f>"ZNF749"</f>
        <v>ZNF749</v>
      </c>
      <c r="B18769" t="s">
        <v>8</v>
      </c>
    </row>
    <row r="18770" spans="1:2" x14ac:dyDescent="0.2">
      <c r="A18770" t="str">
        <f>"ZNF750"</f>
        <v>ZNF750</v>
      </c>
      <c r="B18770" t="s">
        <v>8</v>
      </c>
    </row>
    <row r="18771" spans="1:2" x14ac:dyDescent="0.2">
      <c r="A18771" t="str">
        <f>"ZNF75A"</f>
        <v>ZNF75A</v>
      </c>
      <c r="B18771" t="s">
        <v>8</v>
      </c>
    </row>
    <row r="18772" spans="1:2" x14ac:dyDescent="0.2">
      <c r="A18772" t="str">
        <f>"ZNF75D"</f>
        <v>ZNF75D</v>
      </c>
      <c r="B18772" t="s">
        <v>8</v>
      </c>
    </row>
    <row r="18773" spans="1:2" x14ac:dyDescent="0.2">
      <c r="A18773" t="str">
        <f>"ZNF76"</f>
        <v>ZNF76</v>
      </c>
      <c r="B18773" t="s">
        <v>8</v>
      </c>
    </row>
    <row r="18774" spans="1:2" x14ac:dyDescent="0.2">
      <c r="A18774" t="str">
        <f>"ZNF761"</f>
        <v>ZNF761</v>
      </c>
      <c r="B18774" t="s">
        <v>8</v>
      </c>
    </row>
    <row r="18775" spans="1:2" x14ac:dyDescent="0.2">
      <c r="A18775" t="str">
        <f>"ZNF763"</f>
        <v>ZNF763</v>
      </c>
      <c r="B18775" t="s">
        <v>8</v>
      </c>
    </row>
    <row r="18776" spans="1:2" x14ac:dyDescent="0.2">
      <c r="A18776" t="str">
        <f>"ZNF764"</f>
        <v>ZNF764</v>
      </c>
      <c r="B18776" t="s">
        <v>8</v>
      </c>
    </row>
    <row r="18777" spans="1:2" x14ac:dyDescent="0.2">
      <c r="A18777" t="str">
        <f>"ZNF765"</f>
        <v>ZNF765</v>
      </c>
      <c r="B18777" t="s">
        <v>8</v>
      </c>
    </row>
    <row r="18778" spans="1:2" x14ac:dyDescent="0.2">
      <c r="A18778" t="str">
        <f>"ZNF766"</f>
        <v>ZNF766</v>
      </c>
      <c r="B18778" t="s">
        <v>8</v>
      </c>
    </row>
    <row r="18779" spans="1:2" x14ac:dyDescent="0.2">
      <c r="A18779" t="str">
        <f>"ZNF768"</f>
        <v>ZNF768</v>
      </c>
      <c r="B18779" t="s">
        <v>8</v>
      </c>
    </row>
    <row r="18780" spans="1:2" x14ac:dyDescent="0.2">
      <c r="A18780" t="str">
        <f>"ZNF77"</f>
        <v>ZNF77</v>
      </c>
      <c r="B18780" t="s">
        <v>8</v>
      </c>
    </row>
    <row r="18781" spans="1:2" x14ac:dyDescent="0.2">
      <c r="A18781" t="str">
        <f>"ZNF770"</f>
        <v>ZNF770</v>
      </c>
      <c r="B18781" t="s">
        <v>8</v>
      </c>
    </row>
    <row r="18782" spans="1:2" x14ac:dyDescent="0.2">
      <c r="A18782" t="str">
        <f>"ZNF771"</f>
        <v>ZNF771</v>
      </c>
      <c r="B18782" t="s">
        <v>8</v>
      </c>
    </row>
    <row r="18783" spans="1:2" x14ac:dyDescent="0.2">
      <c r="A18783" t="str">
        <f>"ZNF772"</f>
        <v>ZNF772</v>
      </c>
      <c r="B18783" t="s">
        <v>8</v>
      </c>
    </row>
    <row r="18784" spans="1:2" x14ac:dyDescent="0.2">
      <c r="A18784" t="str">
        <f>"ZNF773"</f>
        <v>ZNF773</v>
      </c>
      <c r="B18784" t="s">
        <v>8</v>
      </c>
    </row>
    <row r="18785" spans="1:2" x14ac:dyDescent="0.2">
      <c r="A18785" t="str">
        <f>"ZNF774"</f>
        <v>ZNF774</v>
      </c>
      <c r="B18785" t="s">
        <v>8</v>
      </c>
    </row>
    <row r="18786" spans="1:2" x14ac:dyDescent="0.2">
      <c r="A18786" t="str">
        <f>"ZNF775"</f>
        <v>ZNF775</v>
      </c>
      <c r="B18786" t="s">
        <v>8</v>
      </c>
    </row>
    <row r="18787" spans="1:2" x14ac:dyDescent="0.2">
      <c r="A18787" t="str">
        <f>"ZNF776"</f>
        <v>ZNF776</v>
      </c>
      <c r="B18787" t="s">
        <v>8</v>
      </c>
    </row>
    <row r="18788" spans="1:2" x14ac:dyDescent="0.2">
      <c r="A18788" t="str">
        <f>"ZNF777"</f>
        <v>ZNF777</v>
      </c>
      <c r="B18788" t="s">
        <v>8</v>
      </c>
    </row>
    <row r="18789" spans="1:2" x14ac:dyDescent="0.2">
      <c r="A18789" t="str">
        <f>"ZNF778"</f>
        <v>ZNF778</v>
      </c>
      <c r="B18789" t="s">
        <v>8</v>
      </c>
    </row>
    <row r="18790" spans="1:2" x14ac:dyDescent="0.2">
      <c r="A18790" t="str">
        <f>"ZNF780A"</f>
        <v>ZNF780A</v>
      </c>
      <c r="B18790" t="s">
        <v>8</v>
      </c>
    </row>
    <row r="18791" spans="1:2" x14ac:dyDescent="0.2">
      <c r="A18791" t="str">
        <f>"ZNF780B"</f>
        <v>ZNF780B</v>
      </c>
      <c r="B18791" t="s">
        <v>8</v>
      </c>
    </row>
    <row r="18792" spans="1:2" x14ac:dyDescent="0.2">
      <c r="A18792" t="str">
        <f>"ZNF781"</f>
        <v>ZNF781</v>
      </c>
      <c r="B18792" t="s">
        <v>8</v>
      </c>
    </row>
    <row r="18793" spans="1:2" x14ac:dyDescent="0.2">
      <c r="A18793" t="str">
        <f>"ZNF782"</f>
        <v>ZNF782</v>
      </c>
      <c r="B18793" t="s">
        <v>8</v>
      </c>
    </row>
    <row r="18794" spans="1:2" x14ac:dyDescent="0.2">
      <c r="A18794" t="str">
        <f>"ZNF783"</f>
        <v>ZNF783</v>
      </c>
      <c r="B18794" t="s">
        <v>8</v>
      </c>
    </row>
    <row r="18795" spans="1:2" x14ac:dyDescent="0.2">
      <c r="A18795" t="str">
        <f>"ZNF784"</f>
        <v>ZNF784</v>
      </c>
      <c r="B18795" t="s">
        <v>8</v>
      </c>
    </row>
    <row r="18796" spans="1:2" x14ac:dyDescent="0.2">
      <c r="A18796" t="str">
        <f>"ZNF785"</f>
        <v>ZNF785</v>
      </c>
      <c r="B18796" t="s">
        <v>8</v>
      </c>
    </row>
    <row r="18797" spans="1:2" x14ac:dyDescent="0.2">
      <c r="A18797" t="str">
        <f>"ZNF786"</f>
        <v>ZNF786</v>
      </c>
      <c r="B18797" t="s">
        <v>8</v>
      </c>
    </row>
    <row r="18798" spans="1:2" x14ac:dyDescent="0.2">
      <c r="A18798" t="str">
        <f>"ZNF787"</f>
        <v>ZNF787</v>
      </c>
      <c r="B18798" t="s">
        <v>8</v>
      </c>
    </row>
    <row r="18799" spans="1:2" x14ac:dyDescent="0.2">
      <c r="A18799" t="str">
        <f>"ZNF789"</f>
        <v>ZNF789</v>
      </c>
      <c r="B18799" t="s">
        <v>8</v>
      </c>
    </row>
    <row r="18800" spans="1:2" x14ac:dyDescent="0.2">
      <c r="A18800" t="str">
        <f>"ZNF79"</f>
        <v>ZNF79</v>
      </c>
      <c r="B18800" t="s">
        <v>8</v>
      </c>
    </row>
    <row r="18801" spans="1:2" x14ac:dyDescent="0.2">
      <c r="A18801" t="str">
        <f>"ZNF790"</f>
        <v>ZNF790</v>
      </c>
      <c r="B18801" t="s">
        <v>8</v>
      </c>
    </row>
    <row r="18802" spans="1:2" x14ac:dyDescent="0.2">
      <c r="A18802" t="str">
        <f>"ZNF791"</f>
        <v>ZNF791</v>
      </c>
      <c r="B18802" t="s">
        <v>8</v>
      </c>
    </row>
    <row r="18803" spans="1:2" x14ac:dyDescent="0.2">
      <c r="A18803" t="str">
        <f>"ZNF792"</f>
        <v>ZNF792</v>
      </c>
      <c r="B18803" t="s">
        <v>8</v>
      </c>
    </row>
    <row r="18804" spans="1:2" x14ac:dyDescent="0.2">
      <c r="A18804" t="str">
        <f>"ZNF793"</f>
        <v>ZNF793</v>
      </c>
      <c r="B18804" t="s">
        <v>8</v>
      </c>
    </row>
    <row r="18805" spans="1:2" x14ac:dyDescent="0.2">
      <c r="A18805" t="str">
        <f>"ZNF799"</f>
        <v>ZNF799</v>
      </c>
      <c r="B18805" t="s">
        <v>8</v>
      </c>
    </row>
    <row r="18806" spans="1:2" x14ac:dyDescent="0.2">
      <c r="A18806" t="str">
        <f>"ZNF8"</f>
        <v>ZNF8</v>
      </c>
      <c r="B18806" t="s">
        <v>8</v>
      </c>
    </row>
    <row r="18807" spans="1:2" x14ac:dyDescent="0.2">
      <c r="A18807" t="str">
        <f>"ZNF80"</f>
        <v>ZNF80</v>
      </c>
      <c r="B18807" t="s">
        <v>8</v>
      </c>
    </row>
    <row r="18808" spans="1:2" x14ac:dyDescent="0.2">
      <c r="A18808" t="str">
        <f>"ZNF800"</f>
        <v>ZNF800</v>
      </c>
      <c r="B18808" t="s">
        <v>8</v>
      </c>
    </row>
    <row r="18809" spans="1:2" x14ac:dyDescent="0.2">
      <c r="A18809" t="str">
        <f>"ZNF804A"</f>
        <v>ZNF804A</v>
      </c>
      <c r="B18809" t="s">
        <v>8</v>
      </c>
    </row>
    <row r="18810" spans="1:2" x14ac:dyDescent="0.2">
      <c r="A18810" t="str">
        <f>"ZNF804B"</f>
        <v>ZNF804B</v>
      </c>
      <c r="B18810" t="s">
        <v>8</v>
      </c>
    </row>
    <row r="18811" spans="1:2" x14ac:dyDescent="0.2">
      <c r="A18811" t="str">
        <f>"ZNF805"</f>
        <v>ZNF805</v>
      </c>
      <c r="B18811" t="s">
        <v>8</v>
      </c>
    </row>
    <row r="18812" spans="1:2" x14ac:dyDescent="0.2">
      <c r="A18812" t="str">
        <f>"ZNF808"</f>
        <v>ZNF808</v>
      </c>
      <c r="B18812" t="s">
        <v>8</v>
      </c>
    </row>
    <row r="18813" spans="1:2" x14ac:dyDescent="0.2">
      <c r="A18813" t="str">
        <f>"ZNF81"</f>
        <v>ZNF81</v>
      </c>
      <c r="B18813" t="s">
        <v>8</v>
      </c>
    </row>
    <row r="18814" spans="1:2" x14ac:dyDescent="0.2">
      <c r="A18814" t="str">
        <f>"ZNF812"</f>
        <v>ZNF812</v>
      </c>
      <c r="B18814" t="s">
        <v>4</v>
      </c>
    </row>
    <row r="18815" spans="1:2" x14ac:dyDescent="0.2">
      <c r="A18815" t="str">
        <f>"ZNF813"</f>
        <v>ZNF813</v>
      </c>
      <c r="B18815" t="s">
        <v>8</v>
      </c>
    </row>
    <row r="18816" spans="1:2" x14ac:dyDescent="0.2">
      <c r="A18816" t="str">
        <f>"ZNF814"</f>
        <v>ZNF814</v>
      </c>
      <c r="B18816" t="s">
        <v>4</v>
      </c>
    </row>
    <row r="18817" spans="1:2" x14ac:dyDescent="0.2">
      <c r="A18817" t="str">
        <f>"ZNF816"</f>
        <v>ZNF816</v>
      </c>
      <c r="B18817" t="s">
        <v>8</v>
      </c>
    </row>
    <row r="18818" spans="1:2" x14ac:dyDescent="0.2">
      <c r="A18818" t="str">
        <f>"ZNF821"</f>
        <v>ZNF821</v>
      </c>
      <c r="B18818" t="s">
        <v>8</v>
      </c>
    </row>
    <row r="18819" spans="1:2" x14ac:dyDescent="0.2">
      <c r="A18819" t="str">
        <f>"ZNF823"</f>
        <v>ZNF823</v>
      </c>
      <c r="B18819" t="s">
        <v>8</v>
      </c>
    </row>
    <row r="18820" spans="1:2" x14ac:dyDescent="0.2">
      <c r="A18820" t="str">
        <f>"ZNF827"</f>
        <v>ZNF827</v>
      </c>
      <c r="B18820" t="s">
        <v>8</v>
      </c>
    </row>
    <row r="18821" spans="1:2" x14ac:dyDescent="0.2">
      <c r="A18821" t="str">
        <f>"ZNF829"</f>
        <v>ZNF829</v>
      </c>
      <c r="B18821" t="s">
        <v>8</v>
      </c>
    </row>
    <row r="18822" spans="1:2" x14ac:dyDescent="0.2">
      <c r="A18822" t="str">
        <f>"ZNF83"</f>
        <v>ZNF83</v>
      </c>
      <c r="B18822" t="s">
        <v>8</v>
      </c>
    </row>
    <row r="18823" spans="1:2" x14ac:dyDescent="0.2">
      <c r="A18823" t="str">
        <f>"ZNF830"</f>
        <v>ZNF830</v>
      </c>
      <c r="B18823" t="s">
        <v>3</v>
      </c>
    </row>
    <row r="18824" spans="1:2" x14ac:dyDescent="0.2">
      <c r="A18824" t="str">
        <f>"ZNF831"</f>
        <v>ZNF831</v>
      </c>
      <c r="B18824" t="s">
        <v>8</v>
      </c>
    </row>
    <row r="18825" spans="1:2" x14ac:dyDescent="0.2">
      <c r="A18825" t="str">
        <f>"ZNF835"</f>
        <v>ZNF835</v>
      </c>
      <c r="B18825" t="s">
        <v>8</v>
      </c>
    </row>
    <row r="18826" spans="1:2" x14ac:dyDescent="0.2">
      <c r="A18826" t="str">
        <f>"ZNF836"</f>
        <v>ZNF836</v>
      </c>
      <c r="B18826" t="s">
        <v>8</v>
      </c>
    </row>
    <row r="18827" spans="1:2" x14ac:dyDescent="0.2">
      <c r="A18827" t="str">
        <f>"ZNF837"</f>
        <v>ZNF837</v>
      </c>
      <c r="B18827" t="s">
        <v>8</v>
      </c>
    </row>
    <row r="18828" spans="1:2" x14ac:dyDescent="0.2">
      <c r="A18828" t="str">
        <f>"ZNF839"</f>
        <v>ZNF839</v>
      </c>
      <c r="B18828" t="s">
        <v>8</v>
      </c>
    </row>
    <row r="18829" spans="1:2" x14ac:dyDescent="0.2">
      <c r="A18829" t="str">
        <f>"ZNF84"</f>
        <v>ZNF84</v>
      </c>
      <c r="B18829" t="s">
        <v>8</v>
      </c>
    </row>
    <row r="18830" spans="1:2" x14ac:dyDescent="0.2">
      <c r="A18830" t="str">
        <f>"ZNF841"</f>
        <v>ZNF841</v>
      </c>
      <c r="B18830" t="s">
        <v>8</v>
      </c>
    </row>
    <row r="18831" spans="1:2" x14ac:dyDescent="0.2">
      <c r="A18831" t="str">
        <f>"ZNF843"</f>
        <v>ZNF843</v>
      </c>
      <c r="B18831" t="s">
        <v>8</v>
      </c>
    </row>
    <row r="18832" spans="1:2" x14ac:dyDescent="0.2">
      <c r="A18832" t="str">
        <f>"ZNF844"</f>
        <v>ZNF844</v>
      </c>
      <c r="B18832" t="s">
        <v>4</v>
      </c>
    </row>
    <row r="18833" spans="1:2" x14ac:dyDescent="0.2">
      <c r="A18833" t="str">
        <f>"ZNF845"</f>
        <v>ZNF845</v>
      </c>
      <c r="B18833" t="s">
        <v>8</v>
      </c>
    </row>
    <row r="18834" spans="1:2" x14ac:dyDescent="0.2">
      <c r="A18834" t="str">
        <f>"ZNF846"</f>
        <v>ZNF846</v>
      </c>
      <c r="B18834" t="s">
        <v>4</v>
      </c>
    </row>
    <row r="18835" spans="1:2" x14ac:dyDescent="0.2">
      <c r="A18835" t="str">
        <f>"ZNF85"</f>
        <v>ZNF85</v>
      </c>
      <c r="B18835" t="s">
        <v>2</v>
      </c>
    </row>
    <row r="18836" spans="1:2" x14ac:dyDescent="0.2">
      <c r="A18836" t="str">
        <f>"ZNF850"</f>
        <v>ZNF850</v>
      </c>
      <c r="B18836" t="s">
        <v>4</v>
      </c>
    </row>
    <row r="18837" spans="1:2" x14ac:dyDescent="0.2">
      <c r="A18837" t="str">
        <f>"ZNF852"</f>
        <v>ZNF852</v>
      </c>
      <c r="B18837" t="s">
        <v>8</v>
      </c>
    </row>
    <row r="18838" spans="1:2" x14ac:dyDescent="0.2">
      <c r="A18838" t="str">
        <f>"ZNF853"</f>
        <v>ZNF853</v>
      </c>
      <c r="B18838" t="s">
        <v>4</v>
      </c>
    </row>
    <row r="18839" spans="1:2" x14ac:dyDescent="0.2">
      <c r="A18839" t="str">
        <f>"ZNF860"</f>
        <v>ZNF860</v>
      </c>
      <c r="B18839" t="s">
        <v>8</v>
      </c>
    </row>
    <row r="18840" spans="1:2" x14ac:dyDescent="0.2">
      <c r="A18840" t="str">
        <f>"ZNF862"</f>
        <v>ZNF862</v>
      </c>
      <c r="B18840" t="s">
        <v>4</v>
      </c>
    </row>
    <row r="18841" spans="1:2" x14ac:dyDescent="0.2">
      <c r="A18841" t="str">
        <f>"ZNF865"</f>
        <v>ZNF865</v>
      </c>
      <c r="B18841" t="s">
        <v>4</v>
      </c>
    </row>
    <row r="18842" spans="1:2" x14ac:dyDescent="0.2">
      <c r="A18842" t="str">
        <f>"ZNF878"</f>
        <v>ZNF878</v>
      </c>
      <c r="B18842" t="s">
        <v>8</v>
      </c>
    </row>
    <row r="18843" spans="1:2" x14ac:dyDescent="0.2">
      <c r="A18843" t="str">
        <f>"ZNF879"</f>
        <v>ZNF879</v>
      </c>
      <c r="B18843" t="s">
        <v>4</v>
      </c>
    </row>
    <row r="18844" spans="1:2" x14ac:dyDescent="0.2">
      <c r="A18844" t="str">
        <f>"ZNF880"</f>
        <v>ZNF880</v>
      </c>
      <c r="B18844" t="s">
        <v>4</v>
      </c>
    </row>
    <row r="18845" spans="1:2" x14ac:dyDescent="0.2">
      <c r="A18845" t="str">
        <f>"ZNF883"</f>
        <v>ZNF883</v>
      </c>
      <c r="B18845" t="s">
        <v>4</v>
      </c>
    </row>
    <row r="18846" spans="1:2" x14ac:dyDescent="0.2">
      <c r="A18846" t="str">
        <f>"ZNF888"</f>
        <v>ZNF888</v>
      </c>
      <c r="B18846" t="s">
        <v>4</v>
      </c>
    </row>
    <row r="18847" spans="1:2" x14ac:dyDescent="0.2">
      <c r="A18847" t="str">
        <f>"ZNF891"</f>
        <v>ZNF891</v>
      </c>
      <c r="B18847" t="s">
        <v>4</v>
      </c>
    </row>
    <row r="18848" spans="1:2" x14ac:dyDescent="0.2">
      <c r="A18848" t="str">
        <f>"ZNF90"</f>
        <v>ZNF90</v>
      </c>
      <c r="B18848" t="s">
        <v>8</v>
      </c>
    </row>
    <row r="18849" spans="1:2" x14ac:dyDescent="0.2">
      <c r="A18849" t="str">
        <f>"ZNF91"</f>
        <v>ZNF91</v>
      </c>
      <c r="B18849" t="s">
        <v>8</v>
      </c>
    </row>
    <row r="18850" spans="1:2" x14ac:dyDescent="0.2">
      <c r="A18850" t="str">
        <f>"ZNF92"</f>
        <v>ZNF92</v>
      </c>
      <c r="B18850" t="s">
        <v>8</v>
      </c>
    </row>
    <row r="18851" spans="1:2" x14ac:dyDescent="0.2">
      <c r="A18851" t="str">
        <f>"ZNF93"</f>
        <v>ZNF93</v>
      </c>
      <c r="B18851" t="s">
        <v>8</v>
      </c>
    </row>
    <row r="18852" spans="1:2" x14ac:dyDescent="0.2">
      <c r="A18852" t="str">
        <f>"ZNF98"</f>
        <v>ZNF98</v>
      </c>
      <c r="B18852" t="s">
        <v>8</v>
      </c>
    </row>
    <row r="18853" spans="1:2" x14ac:dyDescent="0.2">
      <c r="A18853" t="str">
        <f>"ZNF99"</f>
        <v>ZNF99</v>
      </c>
      <c r="B18853" t="s">
        <v>8</v>
      </c>
    </row>
    <row r="18854" spans="1:2" x14ac:dyDescent="0.2">
      <c r="A18854" t="str">
        <f>"ZNFX1"</f>
        <v>ZNFX1</v>
      </c>
      <c r="B18854" t="s">
        <v>2</v>
      </c>
    </row>
    <row r="18855" spans="1:2" x14ac:dyDescent="0.2">
      <c r="A18855" t="str">
        <f>"ZNHIT1"</f>
        <v>ZNHIT1</v>
      </c>
      <c r="B18855" t="s">
        <v>4</v>
      </c>
    </row>
    <row r="18856" spans="1:2" x14ac:dyDescent="0.2">
      <c r="A18856" t="str">
        <f>"ZNHIT2"</f>
        <v>ZNHIT2</v>
      </c>
      <c r="B18856" t="s">
        <v>4</v>
      </c>
    </row>
    <row r="18857" spans="1:2" x14ac:dyDescent="0.2">
      <c r="A18857" t="str">
        <f>"ZNHIT3"</f>
        <v>ZNHIT3</v>
      </c>
      <c r="B18857" t="s">
        <v>8</v>
      </c>
    </row>
    <row r="18858" spans="1:2" x14ac:dyDescent="0.2">
      <c r="A18858" t="str">
        <f>"ZNHIT6"</f>
        <v>ZNHIT6</v>
      </c>
      <c r="B18858" t="s">
        <v>4</v>
      </c>
    </row>
    <row r="18859" spans="1:2" x14ac:dyDescent="0.2">
      <c r="A18859" t="str">
        <f>"ZNRD1"</f>
        <v>ZNRD1</v>
      </c>
      <c r="B18859" t="s">
        <v>2</v>
      </c>
    </row>
    <row r="18860" spans="1:2" x14ac:dyDescent="0.2">
      <c r="A18860" t="str">
        <f>"ZNRF1"</f>
        <v>ZNRF1</v>
      </c>
      <c r="B18860" t="s">
        <v>2</v>
      </c>
    </row>
    <row r="18861" spans="1:2" x14ac:dyDescent="0.2">
      <c r="A18861" t="str">
        <f>"ZNRF2"</f>
        <v>ZNRF2</v>
      </c>
      <c r="B18861" t="s">
        <v>2</v>
      </c>
    </row>
    <row r="18862" spans="1:2" x14ac:dyDescent="0.2">
      <c r="A18862" t="str">
        <f>"ZNRF3"</f>
        <v>ZNRF3</v>
      </c>
      <c r="B18862" t="s">
        <v>2</v>
      </c>
    </row>
    <row r="18863" spans="1:2" x14ac:dyDescent="0.2">
      <c r="A18863" t="str">
        <f>"ZNRF4"</f>
        <v>ZNRF4</v>
      </c>
      <c r="B18863" t="s">
        <v>2</v>
      </c>
    </row>
    <row r="18864" spans="1:2" x14ac:dyDescent="0.2">
      <c r="A18864" t="str">
        <f>"ZP1"</f>
        <v>ZP1</v>
      </c>
      <c r="B18864" t="s">
        <v>5</v>
      </c>
    </row>
    <row r="18865" spans="1:2" x14ac:dyDescent="0.2">
      <c r="A18865" t="str">
        <f>"ZP2"</f>
        <v>ZP2</v>
      </c>
      <c r="B18865" t="s">
        <v>5</v>
      </c>
    </row>
    <row r="18866" spans="1:2" x14ac:dyDescent="0.2">
      <c r="A18866" t="str">
        <f>"ZP3"</f>
        <v>ZP3</v>
      </c>
      <c r="B18866" t="s">
        <v>5</v>
      </c>
    </row>
    <row r="18867" spans="1:2" x14ac:dyDescent="0.2">
      <c r="A18867" t="str">
        <f>"ZP4"</f>
        <v>ZP4</v>
      </c>
      <c r="B18867" t="s">
        <v>5</v>
      </c>
    </row>
    <row r="18868" spans="1:2" x14ac:dyDescent="0.2">
      <c r="A18868" t="str">
        <f>"ZPBP"</f>
        <v>ZPBP</v>
      </c>
      <c r="B18868" t="s">
        <v>4</v>
      </c>
    </row>
    <row r="18869" spans="1:2" x14ac:dyDescent="0.2">
      <c r="A18869" t="str">
        <f>"ZPBP2"</f>
        <v>ZPBP2</v>
      </c>
      <c r="B18869" t="s">
        <v>4</v>
      </c>
    </row>
    <row r="18870" spans="1:2" x14ac:dyDescent="0.2">
      <c r="A18870" t="str">
        <f>"ZPLD1"</f>
        <v>ZPLD1</v>
      </c>
      <c r="B18870" t="s">
        <v>5</v>
      </c>
    </row>
    <row r="18871" spans="1:2" x14ac:dyDescent="0.2">
      <c r="A18871" t="str">
        <f>"ZRANB1"</f>
        <v>ZRANB1</v>
      </c>
      <c r="B18871" t="s">
        <v>2</v>
      </c>
    </row>
    <row r="18872" spans="1:2" x14ac:dyDescent="0.2">
      <c r="A18872" t="str">
        <f>"ZRANB2"</f>
        <v>ZRANB2</v>
      </c>
      <c r="B18872" t="s">
        <v>8</v>
      </c>
    </row>
    <row r="18873" spans="1:2" x14ac:dyDescent="0.2">
      <c r="A18873" t="str">
        <f>"ZRANB3"</f>
        <v>ZRANB3</v>
      </c>
      <c r="B18873" t="s">
        <v>2</v>
      </c>
    </row>
    <row r="18874" spans="1:2" x14ac:dyDescent="0.2">
      <c r="A18874" t="str">
        <f>"ZRSR2"</f>
        <v>ZRSR2</v>
      </c>
      <c r="B18874" t="s">
        <v>8</v>
      </c>
    </row>
    <row r="18875" spans="1:2" x14ac:dyDescent="0.2">
      <c r="A18875" t="str">
        <f>"ZSCAN1"</f>
        <v>ZSCAN1</v>
      </c>
      <c r="B18875" t="s">
        <v>8</v>
      </c>
    </row>
    <row r="18876" spans="1:2" x14ac:dyDescent="0.2">
      <c r="A18876" t="str">
        <f>"ZSCAN10"</f>
        <v>ZSCAN10</v>
      </c>
      <c r="B18876" t="s">
        <v>8</v>
      </c>
    </row>
    <row r="18877" spans="1:2" x14ac:dyDescent="0.2">
      <c r="A18877" t="str">
        <f>"ZSCAN12"</f>
        <v>ZSCAN12</v>
      </c>
      <c r="B18877" t="s">
        <v>8</v>
      </c>
    </row>
    <row r="18878" spans="1:2" x14ac:dyDescent="0.2">
      <c r="A18878" t="str">
        <f>"ZSCAN16"</f>
        <v>ZSCAN16</v>
      </c>
      <c r="B18878" t="s">
        <v>8</v>
      </c>
    </row>
    <row r="18879" spans="1:2" x14ac:dyDescent="0.2">
      <c r="A18879" t="str">
        <f>"ZSCAN18"</f>
        <v>ZSCAN18</v>
      </c>
      <c r="B18879" t="s">
        <v>2</v>
      </c>
    </row>
    <row r="18880" spans="1:2" x14ac:dyDescent="0.2">
      <c r="A18880" t="str">
        <f>"ZSCAN2"</f>
        <v>ZSCAN2</v>
      </c>
      <c r="B18880" t="s">
        <v>8</v>
      </c>
    </row>
    <row r="18881" spans="1:2" x14ac:dyDescent="0.2">
      <c r="A18881" t="str">
        <f>"ZSCAN20"</f>
        <v>ZSCAN20</v>
      </c>
      <c r="B18881" t="s">
        <v>6</v>
      </c>
    </row>
    <row r="18882" spans="1:2" x14ac:dyDescent="0.2">
      <c r="A18882" t="str">
        <f>"ZSCAN21"</f>
        <v>ZSCAN21</v>
      </c>
      <c r="B18882" t="s">
        <v>8</v>
      </c>
    </row>
    <row r="18883" spans="1:2" x14ac:dyDescent="0.2">
      <c r="A18883" t="str">
        <f>"ZSCAN22"</f>
        <v>ZSCAN22</v>
      </c>
      <c r="B18883" t="s">
        <v>8</v>
      </c>
    </row>
    <row r="18884" spans="1:2" x14ac:dyDescent="0.2">
      <c r="A18884" t="str">
        <f>"ZSCAN23"</f>
        <v>ZSCAN23</v>
      </c>
      <c r="B18884" t="s">
        <v>8</v>
      </c>
    </row>
    <row r="18885" spans="1:2" x14ac:dyDescent="0.2">
      <c r="A18885" t="str">
        <f>"ZSCAN25"</f>
        <v>ZSCAN25</v>
      </c>
      <c r="B18885" t="s">
        <v>8</v>
      </c>
    </row>
    <row r="18886" spans="1:2" x14ac:dyDescent="0.2">
      <c r="A18886" t="str">
        <f>"ZSCAN26"</f>
        <v>ZSCAN26</v>
      </c>
      <c r="B18886" t="s">
        <v>8</v>
      </c>
    </row>
    <row r="18887" spans="1:2" x14ac:dyDescent="0.2">
      <c r="A18887" t="str">
        <f>"ZSCAN29"</f>
        <v>ZSCAN29</v>
      </c>
      <c r="B18887" t="s">
        <v>8</v>
      </c>
    </row>
    <row r="18888" spans="1:2" x14ac:dyDescent="0.2">
      <c r="A18888" t="str">
        <f>"ZSCAN30"</f>
        <v>ZSCAN30</v>
      </c>
      <c r="B18888" t="s">
        <v>8</v>
      </c>
    </row>
    <row r="18889" spans="1:2" x14ac:dyDescent="0.2">
      <c r="A18889" t="str">
        <f>"ZSCAN31"</f>
        <v>ZSCAN31</v>
      </c>
      <c r="B18889" t="s">
        <v>8</v>
      </c>
    </row>
    <row r="18890" spans="1:2" x14ac:dyDescent="0.2">
      <c r="A18890" t="str">
        <f>"ZSCAN32"</f>
        <v>ZSCAN32</v>
      </c>
      <c r="B18890" t="s">
        <v>8</v>
      </c>
    </row>
    <row r="18891" spans="1:2" x14ac:dyDescent="0.2">
      <c r="A18891" t="str">
        <f>"ZSCAN5A"</f>
        <v>ZSCAN5A</v>
      </c>
      <c r="B18891" t="s">
        <v>8</v>
      </c>
    </row>
    <row r="18892" spans="1:2" x14ac:dyDescent="0.2">
      <c r="A18892" t="str">
        <f>"ZSCAN5B"</f>
        <v>ZSCAN5B</v>
      </c>
      <c r="B18892" t="s">
        <v>8</v>
      </c>
    </row>
    <row r="18893" spans="1:2" x14ac:dyDescent="0.2">
      <c r="A18893" t="str">
        <f>"ZSCAN5D"</f>
        <v>ZSCAN5D</v>
      </c>
      <c r="B18893" t="s">
        <v>4</v>
      </c>
    </row>
    <row r="18894" spans="1:2" x14ac:dyDescent="0.2">
      <c r="A18894" t="str">
        <f>"ZSCAN9"</f>
        <v>ZSCAN9</v>
      </c>
      <c r="B18894" t="s">
        <v>8</v>
      </c>
    </row>
    <row r="18895" spans="1:2" x14ac:dyDescent="0.2">
      <c r="A18895" t="str">
        <f>"ZSWIM1"</f>
        <v>ZSWIM1</v>
      </c>
      <c r="B18895" t="s">
        <v>4</v>
      </c>
    </row>
    <row r="18896" spans="1:2" x14ac:dyDescent="0.2">
      <c r="A18896" t="str">
        <f>"ZSWIM2"</f>
        <v>ZSWIM2</v>
      </c>
      <c r="B18896" t="s">
        <v>2</v>
      </c>
    </row>
    <row r="18897" spans="1:2" x14ac:dyDescent="0.2">
      <c r="A18897" t="str">
        <f>"ZSWIM3"</f>
        <v>ZSWIM3</v>
      </c>
      <c r="B18897" t="s">
        <v>4</v>
      </c>
    </row>
    <row r="18898" spans="1:2" x14ac:dyDescent="0.2">
      <c r="A18898" t="str">
        <f>"ZSWIM4"</f>
        <v>ZSWIM4</v>
      </c>
      <c r="B18898" t="s">
        <v>4</v>
      </c>
    </row>
    <row r="18899" spans="1:2" x14ac:dyDescent="0.2">
      <c r="A18899" t="str">
        <f>"ZSWIM5"</f>
        <v>ZSWIM5</v>
      </c>
      <c r="B18899" t="s">
        <v>4</v>
      </c>
    </row>
    <row r="18900" spans="1:2" x14ac:dyDescent="0.2">
      <c r="A18900" t="str">
        <f>"ZSWIM6"</f>
        <v>ZSWIM6</v>
      </c>
      <c r="B18900" t="s">
        <v>4</v>
      </c>
    </row>
    <row r="18901" spans="1:2" x14ac:dyDescent="0.2">
      <c r="A18901" t="str">
        <f>"ZSWIM7"</f>
        <v>ZSWIM7</v>
      </c>
      <c r="B18901" t="s">
        <v>4</v>
      </c>
    </row>
    <row r="18902" spans="1:2" x14ac:dyDescent="0.2">
      <c r="A18902" t="str">
        <f>"ZSWIM8"</f>
        <v>ZSWIM8</v>
      </c>
      <c r="B18902" t="s">
        <v>4</v>
      </c>
    </row>
    <row r="18903" spans="1:2" x14ac:dyDescent="0.2">
      <c r="A18903" t="str">
        <f>"ZUFSP"</f>
        <v>ZUFSP</v>
      </c>
      <c r="B18903" t="s">
        <v>8</v>
      </c>
    </row>
    <row r="18904" spans="1:2" x14ac:dyDescent="0.2">
      <c r="A18904" t="str">
        <f>"ZW10"</f>
        <v>ZW10</v>
      </c>
      <c r="B18904" t="s">
        <v>3</v>
      </c>
    </row>
    <row r="18905" spans="1:2" x14ac:dyDescent="0.2">
      <c r="A18905" t="str">
        <f>"ZWILCH"</f>
        <v>ZWILCH</v>
      </c>
      <c r="B18905" t="s">
        <v>3</v>
      </c>
    </row>
    <row r="18906" spans="1:2" x14ac:dyDescent="0.2">
      <c r="A18906" t="str">
        <f>"ZWINT"</f>
        <v>ZWINT</v>
      </c>
      <c r="B18906" t="s">
        <v>3</v>
      </c>
    </row>
    <row r="18907" spans="1:2" x14ac:dyDescent="0.2">
      <c r="A18907" t="str">
        <f>"ZXDA"</f>
        <v>ZXDA</v>
      </c>
      <c r="B18907" t="s">
        <v>8</v>
      </c>
    </row>
    <row r="18908" spans="1:2" x14ac:dyDescent="0.2">
      <c r="A18908" t="str">
        <f>"ZXDB"</f>
        <v>ZXDB</v>
      </c>
      <c r="B18908" t="s">
        <v>8</v>
      </c>
    </row>
    <row r="18909" spans="1:2" x14ac:dyDescent="0.2">
      <c r="A18909" t="str">
        <f>"ZXDC"</f>
        <v>ZXDC</v>
      </c>
      <c r="B18909" t="s">
        <v>8</v>
      </c>
    </row>
    <row r="18910" spans="1:2" x14ac:dyDescent="0.2">
      <c r="A18910" t="str">
        <f>"ZYG11A"</f>
        <v>ZYG11A</v>
      </c>
      <c r="B18910" t="s">
        <v>4</v>
      </c>
    </row>
    <row r="18911" spans="1:2" x14ac:dyDescent="0.2">
      <c r="A18911" t="str">
        <f>"ZYG11B"</f>
        <v>ZYG11B</v>
      </c>
      <c r="B18911" t="s">
        <v>4</v>
      </c>
    </row>
    <row r="18912" spans="1:2" x14ac:dyDescent="0.2">
      <c r="A18912" t="str">
        <f>"ZYX"</f>
        <v>ZYX</v>
      </c>
      <c r="B18912" t="s">
        <v>2</v>
      </c>
    </row>
    <row r="18913" spans="1:2" x14ac:dyDescent="0.2">
      <c r="A18913" t="str">
        <f>"ZZEF1"</f>
        <v>ZZEF1</v>
      </c>
      <c r="B18913" t="s">
        <v>4</v>
      </c>
    </row>
    <row r="18914" spans="1:2" x14ac:dyDescent="0.2">
      <c r="A18914" t="str">
        <f>"ZZZ3"</f>
        <v>ZZZ3</v>
      </c>
      <c r="B18914" t="s">
        <v>8</v>
      </c>
    </row>
    <row r="18915" spans="1:2" x14ac:dyDescent="0.2">
      <c r="A18915" t="str">
        <f t="shared" ref="A18915:A18921" si="0">"negative_control"</f>
        <v>negative_control</v>
      </c>
      <c r="B18915" t="s">
        <v>7</v>
      </c>
    </row>
    <row r="18916" spans="1:2" x14ac:dyDescent="0.2">
      <c r="A18916" t="str">
        <f t="shared" si="0"/>
        <v>negative_control</v>
      </c>
      <c r="B18916" t="s">
        <v>3</v>
      </c>
    </row>
    <row r="18917" spans="1:2" x14ac:dyDescent="0.2">
      <c r="A18917" t="str">
        <f t="shared" si="0"/>
        <v>negative_control</v>
      </c>
      <c r="B18917" t="s">
        <v>2</v>
      </c>
    </row>
    <row r="18918" spans="1:2" x14ac:dyDescent="0.2">
      <c r="A18918" t="str">
        <f t="shared" si="0"/>
        <v>negative_control</v>
      </c>
      <c r="B18918" t="s">
        <v>6</v>
      </c>
    </row>
    <row r="18919" spans="1:2" x14ac:dyDescent="0.2">
      <c r="A18919" t="str">
        <f t="shared" si="0"/>
        <v>negative_control</v>
      </c>
      <c r="B18919" t="s">
        <v>8</v>
      </c>
    </row>
    <row r="18920" spans="1:2" x14ac:dyDescent="0.2">
      <c r="A18920" t="str">
        <f t="shared" si="0"/>
        <v>negative_control</v>
      </c>
      <c r="B18920" t="s">
        <v>5</v>
      </c>
    </row>
    <row r="18921" spans="1:2" x14ac:dyDescent="0.2">
      <c r="A18921" t="str">
        <f t="shared" si="0"/>
        <v>negative_control</v>
      </c>
      <c r="B18921" t="s">
        <v>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human_sublibraries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Horlbeck</dc:creator>
  <cp:lastModifiedBy>Max Horlbeck</cp:lastModifiedBy>
  <dcterms:created xsi:type="dcterms:W3CDTF">2016-12-20T00:46:31Z</dcterms:created>
  <dcterms:modified xsi:type="dcterms:W3CDTF">2016-12-20T00:46:31Z</dcterms:modified>
</cp:coreProperties>
</file>