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HA ELOUARYACHI\Desktop\"/>
    </mc:Choice>
  </mc:AlternateContent>
  <xr:revisionPtr revIDLastSave="0" documentId="13_ncr:1_{5821949F-3DFF-47ED-90B3-5B0457BFAF83}" xr6:coauthVersionLast="47" xr6:coauthVersionMax="47" xr10:uidLastSave="{00000000-0000-0000-0000-000000000000}"/>
  <bookViews>
    <workbookView xWindow="-120" yWindow="-120" windowWidth="20730" windowHeight="11160" tabRatio="782" activeTab="4" xr2:uid="{00000000-000D-0000-FFFF-FFFF00000000}"/>
  </bookViews>
  <sheets>
    <sheet name="Morocco Prices" sheetId="16" r:id="rId1"/>
    <sheet name="Bolt Sara Adana" sheetId="17" r:id="rId2"/>
    <sheet name="Pricing Turkey" sheetId="13" r:id="rId3"/>
    <sheet name="Pricing sheet" sheetId="11" r:id="rId4"/>
    <sheet name="Pricing sheet clean" sheetId="19" r:id="rId5"/>
    <sheet name="Comparison" sheetId="20" r:id="rId6"/>
  </sheets>
  <definedNames>
    <definedName name="_xlnm._FilterDatabase" localSheetId="3" hidden="1">'Pricing sheet'!$A$20:$AB$200</definedName>
    <definedName name="_xlnm._FilterDatabase" localSheetId="2" hidden="1">'Pricing Turkey'!$A$2:$H$208</definedName>
    <definedName name="_xlnm.Print_Area" localSheetId="3">'Pricing sheet'!$A$1:$O$239</definedName>
    <definedName name="_xlnm.Print_Area" localSheetId="4">'Pricing sheet clean'!$A$1:$AC$215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9" i="11" l="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H3" i="11"/>
  <c r="G69" i="11"/>
  <c r="G70" i="11"/>
  <c r="J15" i="11"/>
  <c r="A22" i="11"/>
  <c r="B22" i="11"/>
  <c r="C22" i="11"/>
  <c r="D22" i="11"/>
  <c r="E22" i="11"/>
  <c r="F22" i="11"/>
  <c r="A23" i="11"/>
  <c r="B23" i="11"/>
  <c r="C23" i="11"/>
  <c r="D23" i="11"/>
  <c r="E23" i="11"/>
  <c r="F23" i="11"/>
  <c r="A24" i="11"/>
  <c r="B24" i="11"/>
  <c r="C24" i="11"/>
  <c r="D24" i="11"/>
  <c r="E24" i="11"/>
  <c r="F24" i="11"/>
  <c r="A25" i="11"/>
  <c r="B25" i="11"/>
  <c r="C25" i="11"/>
  <c r="D25" i="11"/>
  <c r="E25" i="11"/>
  <c r="F25" i="11"/>
  <c r="A26" i="11"/>
  <c r="B26" i="11"/>
  <c r="C26" i="11"/>
  <c r="D26" i="11"/>
  <c r="E26" i="11"/>
  <c r="F26" i="11"/>
  <c r="A27" i="11"/>
  <c r="B27" i="11"/>
  <c r="C27" i="11"/>
  <c r="D27" i="11"/>
  <c r="E27" i="11"/>
  <c r="F27" i="11"/>
  <c r="A28" i="11"/>
  <c r="B28" i="11"/>
  <c r="C28" i="11"/>
  <c r="D28" i="11"/>
  <c r="E28" i="11"/>
  <c r="F28" i="11"/>
  <c r="A29" i="11"/>
  <c r="B29" i="11"/>
  <c r="C29" i="11"/>
  <c r="D29" i="11"/>
  <c r="E29" i="11"/>
  <c r="F29" i="11"/>
  <c r="A30" i="11"/>
  <c r="B30" i="11"/>
  <c r="C30" i="11"/>
  <c r="D30" i="11"/>
  <c r="E30" i="11"/>
  <c r="F30" i="11"/>
  <c r="A31" i="11"/>
  <c r="B31" i="11"/>
  <c r="C31" i="11"/>
  <c r="D31" i="11"/>
  <c r="E31" i="11"/>
  <c r="F31" i="11"/>
  <c r="A32" i="11"/>
  <c r="B32" i="11"/>
  <c r="C32" i="11"/>
  <c r="D32" i="11"/>
  <c r="E32" i="11"/>
  <c r="F32" i="11"/>
  <c r="A33" i="11"/>
  <c r="B33" i="11"/>
  <c r="C33" i="11"/>
  <c r="D33" i="11"/>
  <c r="E33" i="11"/>
  <c r="F33" i="11"/>
  <c r="A34" i="11"/>
  <c r="B34" i="11"/>
  <c r="C34" i="11"/>
  <c r="D34" i="11"/>
  <c r="E34" i="11"/>
  <c r="F34" i="11"/>
  <c r="A35" i="11"/>
  <c r="B35" i="11"/>
  <c r="C35" i="11"/>
  <c r="D35" i="11"/>
  <c r="E35" i="11"/>
  <c r="F35" i="11"/>
  <c r="A36" i="11"/>
  <c r="B36" i="11"/>
  <c r="C36" i="11"/>
  <c r="D36" i="11"/>
  <c r="E36" i="11"/>
  <c r="F36" i="11"/>
  <c r="A37" i="11"/>
  <c r="B37" i="11"/>
  <c r="C37" i="11"/>
  <c r="D37" i="11"/>
  <c r="E37" i="11"/>
  <c r="F37" i="11"/>
  <c r="A38" i="11"/>
  <c r="B38" i="11"/>
  <c r="C38" i="11"/>
  <c r="D38" i="11"/>
  <c r="E38" i="11"/>
  <c r="F38" i="11"/>
  <c r="A39" i="11"/>
  <c r="B39" i="11"/>
  <c r="C39" i="11"/>
  <c r="D39" i="11"/>
  <c r="E39" i="11"/>
  <c r="F39" i="11"/>
  <c r="A40" i="11"/>
  <c r="B40" i="11"/>
  <c r="C40" i="11"/>
  <c r="D40" i="11"/>
  <c r="E40" i="11"/>
  <c r="F40" i="11"/>
  <c r="A41" i="11"/>
  <c r="B41" i="11"/>
  <c r="C41" i="11"/>
  <c r="D41" i="11"/>
  <c r="E41" i="11"/>
  <c r="F41" i="11"/>
  <c r="A42" i="11"/>
  <c r="B42" i="11"/>
  <c r="C42" i="11"/>
  <c r="D42" i="11"/>
  <c r="E42" i="11"/>
  <c r="F42" i="11"/>
  <c r="A43" i="11"/>
  <c r="B43" i="11"/>
  <c r="C43" i="11"/>
  <c r="D43" i="11"/>
  <c r="E43" i="11"/>
  <c r="F43" i="11"/>
  <c r="A44" i="11"/>
  <c r="B44" i="11"/>
  <c r="C44" i="11"/>
  <c r="D44" i="11"/>
  <c r="E44" i="11"/>
  <c r="F44" i="11"/>
  <c r="A45" i="11"/>
  <c r="B45" i="11"/>
  <c r="C45" i="11"/>
  <c r="D45" i="11"/>
  <c r="E45" i="11"/>
  <c r="F45" i="11"/>
  <c r="A46" i="11"/>
  <c r="B46" i="11"/>
  <c r="C46" i="11"/>
  <c r="D46" i="11"/>
  <c r="E46" i="11"/>
  <c r="F46" i="11"/>
  <c r="A47" i="11"/>
  <c r="B47" i="11"/>
  <c r="C47" i="11"/>
  <c r="D47" i="11"/>
  <c r="E47" i="11"/>
  <c r="F47" i="11"/>
  <c r="A48" i="11"/>
  <c r="B48" i="11"/>
  <c r="C48" i="11"/>
  <c r="D48" i="11"/>
  <c r="E48" i="11"/>
  <c r="F48" i="11"/>
  <c r="A49" i="11"/>
  <c r="B49" i="11"/>
  <c r="C49" i="11"/>
  <c r="D49" i="11"/>
  <c r="E49" i="11"/>
  <c r="F49" i="11"/>
  <c r="A50" i="11"/>
  <c r="B50" i="11"/>
  <c r="C50" i="11"/>
  <c r="D50" i="11"/>
  <c r="E50" i="11"/>
  <c r="F50" i="11"/>
  <c r="A51" i="11"/>
  <c r="B51" i="11"/>
  <c r="C51" i="11"/>
  <c r="D51" i="11"/>
  <c r="E51" i="11"/>
  <c r="F51" i="11"/>
  <c r="A52" i="11"/>
  <c r="B52" i="11"/>
  <c r="C52" i="11"/>
  <c r="D52" i="11"/>
  <c r="E52" i="11"/>
  <c r="F52" i="11"/>
  <c r="A53" i="11"/>
  <c r="B53" i="11"/>
  <c r="C53" i="11"/>
  <c r="D53" i="11"/>
  <c r="E53" i="11"/>
  <c r="F53" i="11"/>
  <c r="A54" i="11"/>
  <c r="B54" i="11"/>
  <c r="C54" i="11"/>
  <c r="D54" i="11"/>
  <c r="E54" i="11"/>
  <c r="F54" i="11"/>
  <c r="A55" i="11"/>
  <c r="B55" i="11"/>
  <c r="C55" i="11"/>
  <c r="D55" i="11"/>
  <c r="E55" i="11"/>
  <c r="F55" i="11"/>
  <c r="A56" i="11"/>
  <c r="B56" i="11"/>
  <c r="C56" i="11"/>
  <c r="D56" i="11"/>
  <c r="E56" i="11"/>
  <c r="F56" i="11"/>
  <c r="A57" i="11"/>
  <c r="B57" i="11"/>
  <c r="C57" i="11"/>
  <c r="D57" i="11"/>
  <c r="E57" i="11"/>
  <c r="F57" i="11"/>
  <c r="A58" i="11"/>
  <c r="B58" i="11"/>
  <c r="C58" i="11"/>
  <c r="D58" i="11"/>
  <c r="E58" i="11"/>
  <c r="F58" i="11"/>
  <c r="A59" i="11"/>
  <c r="B59" i="11"/>
  <c r="C59" i="11"/>
  <c r="D59" i="11"/>
  <c r="E59" i="11"/>
  <c r="F59" i="11"/>
  <c r="A60" i="11"/>
  <c r="B60" i="11"/>
  <c r="C60" i="11"/>
  <c r="D60" i="11"/>
  <c r="E60" i="11"/>
  <c r="F60" i="11"/>
  <c r="A61" i="11"/>
  <c r="B61" i="11"/>
  <c r="C61" i="11"/>
  <c r="D61" i="11"/>
  <c r="E61" i="11"/>
  <c r="F61" i="11"/>
  <c r="A62" i="11"/>
  <c r="B62" i="11"/>
  <c r="C62" i="11"/>
  <c r="D62" i="11"/>
  <c r="E62" i="11"/>
  <c r="F62" i="11"/>
  <c r="A63" i="11"/>
  <c r="B63" i="11"/>
  <c r="C63" i="11"/>
  <c r="D63" i="11"/>
  <c r="E63" i="11"/>
  <c r="F63" i="11"/>
  <c r="A64" i="11"/>
  <c r="B64" i="11"/>
  <c r="C64" i="11"/>
  <c r="D64" i="11"/>
  <c r="E64" i="11"/>
  <c r="F64" i="11"/>
  <c r="A65" i="11"/>
  <c r="B65" i="11"/>
  <c r="C65" i="11"/>
  <c r="D65" i="11"/>
  <c r="E65" i="11"/>
  <c r="F65" i="11"/>
  <c r="A66" i="11"/>
  <c r="B66" i="11"/>
  <c r="C66" i="11"/>
  <c r="D66" i="11"/>
  <c r="E66" i="11"/>
  <c r="F66" i="11"/>
  <c r="A67" i="11"/>
  <c r="B67" i="11"/>
  <c r="C67" i="11"/>
  <c r="D67" i="11"/>
  <c r="E67" i="11"/>
  <c r="F67" i="11"/>
  <c r="A68" i="11"/>
  <c r="B68" i="11"/>
  <c r="C68" i="11"/>
  <c r="D68" i="11"/>
  <c r="E68" i="11"/>
  <c r="F68" i="11"/>
  <c r="A69" i="11"/>
  <c r="B69" i="11"/>
  <c r="C69" i="11"/>
  <c r="D69" i="11"/>
  <c r="E69" i="11"/>
  <c r="F69" i="11"/>
  <c r="A70" i="11"/>
  <c r="B70" i="11"/>
  <c r="C70" i="11"/>
  <c r="D70" i="11"/>
  <c r="E70" i="11"/>
  <c r="F70" i="11"/>
  <c r="A71" i="11"/>
  <c r="B71" i="11"/>
  <c r="C71" i="11"/>
  <c r="D71" i="11"/>
  <c r="E71" i="11"/>
  <c r="F71" i="11"/>
  <c r="A72" i="11"/>
  <c r="B72" i="11"/>
  <c r="C72" i="11"/>
  <c r="D72" i="11"/>
  <c r="E72" i="11"/>
  <c r="F72" i="11"/>
  <c r="A73" i="11"/>
  <c r="B73" i="11"/>
  <c r="C73" i="11"/>
  <c r="D73" i="11"/>
  <c r="E73" i="11"/>
  <c r="F73" i="11"/>
  <c r="A74" i="11"/>
  <c r="B74" i="11"/>
  <c r="C74" i="11"/>
  <c r="D74" i="11"/>
  <c r="E74" i="11"/>
  <c r="F74" i="11"/>
  <c r="A75" i="11"/>
  <c r="B75" i="11"/>
  <c r="C75" i="11"/>
  <c r="D75" i="11"/>
  <c r="E75" i="11"/>
  <c r="F75" i="11"/>
  <c r="A76" i="11"/>
  <c r="B76" i="11"/>
  <c r="C76" i="11"/>
  <c r="D76" i="11"/>
  <c r="E76" i="11"/>
  <c r="F76" i="11"/>
  <c r="A77" i="11"/>
  <c r="B77" i="11"/>
  <c r="C77" i="11"/>
  <c r="D77" i="11"/>
  <c r="E77" i="11"/>
  <c r="F77" i="11"/>
  <c r="A78" i="11"/>
  <c r="B78" i="11"/>
  <c r="C78" i="11"/>
  <c r="D78" i="11"/>
  <c r="E78" i="11"/>
  <c r="F78" i="11"/>
  <c r="A79" i="11"/>
  <c r="B79" i="11"/>
  <c r="C79" i="11"/>
  <c r="D79" i="11"/>
  <c r="E79" i="11"/>
  <c r="F79" i="11"/>
  <c r="A80" i="11"/>
  <c r="B80" i="11"/>
  <c r="C80" i="11"/>
  <c r="D80" i="11"/>
  <c r="E80" i="11"/>
  <c r="F80" i="11"/>
  <c r="A81" i="11"/>
  <c r="B81" i="11"/>
  <c r="C81" i="11"/>
  <c r="D81" i="11"/>
  <c r="E81" i="11"/>
  <c r="F81" i="11"/>
  <c r="A82" i="11"/>
  <c r="B82" i="11"/>
  <c r="C82" i="11"/>
  <c r="D82" i="11"/>
  <c r="E82" i="11"/>
  <c r="F82" i="11"/>
  <c r="A83" i="11"/>
  <c r="B83" i="11"/>
  <c r="C83" i="11"/>
  <c r="D83" i="11"/>
  <c r="E83" i="11"/>
  <c r="F83" i="11"/>
  <c r="A84" i="11"/>
  <c r="B84" i="11"/>
  <c r="C84" i="11"/>
  <c r="D84" i="11"/>
  <c r="E84" i="11"/>
  <c r="F84" i="11"/>
  <c r="A85" i="11"/>
  <c r="B85" i="11"/>
  <c r="C85" i="11"/>
  <c r="D85" i="11"/>
  <c r="E85" i="11"/>
  <c r="F85" i="11"/>
  <c r="A86" i="11"/>
  <c r="B86" i="11"/>
  <c r="C86" i="11"/>
  <c r="D86" i="11"/>
  <c r="E86" i="11"/>
  <c r="F86" i="11"/>
  <c r="A87" i="11"/>
  <c r="B87" i="11"/>
  <c r="C87" i="11"/>
  <c r="D87" i="11"/>
  <c r="E87" i="11"/>
  <c r="F87" i="11"/>
  <c r="A88" i="11"/>
  <c r="B88" i="11"/>
  <c r="C88" i="11"/>
  <c r="D88" i="11"/>
  <c r="E88" i="11"/>
  <c r="F88" i="11"/>
  <c r="A89" i="11"/>
  <c r="B89" i="11"/>
  <c r="C89" i="11"/>
  <c r="D89" i="11"/>
  <c r="E89" i="11"/>
  <c r="F89" i="11"/>
  <c r="A90" i="11"/>
  <c r="B90" i="11"/>
  <c r="C90" i="11"/>
  <c r="D90" i="11"/>
  <c r="E90" i="11"/>
  <c r="F90" i="11"/>
  <c r="A91" i="11"/>
  <c r="B91" i="11"/>
  <c r="C91" i="11"/>
  <c r="D91" i="11"/>
  <c r="E91" i="11"/>
  <c r="F91" i="11"/>
  <c r="A92" i="11"/>
  <c r="B92" i="11"/>
  <c r="C92" i="11"/>
  <c r="D92" i="11"/>
  <c r="E92" i="11"/>
  <c r="F92" i="11"/>
  <c r="A93" i="11"/>
  <c r="B93" i="11"/>
  <c r="C93" i="11"/>
  <c r="D93" i="11"/>
  <c r="E93" i="11"/>
  <c r="F93" i="11"/>
  <c r="A94" i="11"/>
  <c r="B94" i="11"/>
  <c r="C94" i="11"/>
  <c r="D94" i="11"/>
  <c r="E94" i="11"/>
  <c r="F94" i="11"/>
  <c r="A95" i="11"/>
  <c r="B95" i="11"/>
  <c r="C95" i="11"/>
  <c r="D95" i="11"/>
  <c r="E95" i="11"/>
  <c r="F95" i="11"/>
  <c r="A96" i="11"/>
  <c r="B96" i="11"/>
  <c r="C96" i="11"/>
  <c r="D96" i="11"/>
  <c r="E96" i="11"/>
  <c r="F96" i="11"/>
  <c r="A97" i="11"/>
  <c r="B97" i="11"/>
  <c r="C97" i="11"/>
  <c r="D97" i="11"/>
  <c r="E97" i="11"/>
  <c r="F97" i="11"/>
  <c r="A98" i="11"/>
  <c r="B98" i="11"/>
  <c r="C98" i="11"/>
  <c r="D98" i="11"/>
  <c r="E98" i="11"/>
  <c r="F98" i="11"/>
  <c r="A99" i="11"/>
  <c r="B99" i="11"/>
  <c r="C99" i="11"/>
  <c r="D99" i="11"/>
  <c r="E99" i="11"/>
  <c r="F99" i="11"/>
  <c r="A100" i="11"/>
  <c r="B100" i="11"/>
  <c r="C100" i="11"/>
  <c r="D100" i="11"/>
  <c r="E100" i="11"/>
  <c r="F100" i="11"/>
  <c r="A101" i="11"/>
  <c r="B101" i="11"/>
  <c r="C101" i="11"/>
  <c r="D101" i="11"/>
  <c r="E101" i="11"/>
  <c r="F101" i="11"/>
  <c r="A102" i="11"/>
  <c r="B102" i="11"/>
  <c r="C102" i="11"/>
  <c r="D102" i="11"/>
  <c r="E102" i="11"/>
  <c r="F102" i="11"/>
  <c r="A103" i="11"/>
  <c r="B103" i="11"/>
  <c r="C103" i="11"/>
  <c r="D103" i="11"/>
  <c r="E103" i="11"/>
  <c r="F103" i="11"/>
  <c r="A104" i="11"/>
  <c r="B104" i="11"/>
  <c r="C104" i="11"/>
  <c r="D104" i="11"/>
  <c r="E104" i="11"/>
  <c r="F104" i="11"/>
  <c r="A105" i="11"/>
  <c r="B105" i="11"/>
  <c r="C105" i="11"/>
  <c r="D105" i="11"/>
  <c r="E105" i="11"/>
  <c r="F105" i="11"/>
  <c r="A106" i="11"/>
  <c r="B106" i="11"/>
  <c r="C106" i="11"/>
  <c r="D106" i="11"/>
  <c r="E106" i="11"/>
  <c r="F106" i="11"/>
  <c r="A107" i="11"/>
  <c r="B107" i="11"/>
  <c r="C107" i="11"/>
  <c r="D107" i="11"/>
  <c r="E107" i="11"/>
  <c r="F107" i="11"/>
  <c r="A108" i="11"/>
  <c r="B108" i="11"/>
  <c r="C108" i="11"/>
  <c r="D108" i="11"/>
  <c r="E108" i="11"/>
  <c r="F108" i="11"/>
  <c r="A109" i="11"/>
  <c r="B109" i="11"/>
  <c r="C109" i="11"/>
  <c r="D109" i="11"/>
  <c r="E109" i="11"/>
  <c r="F109" i="11"/>
  <c r="A110" i="11"/>
  <c r="B110" i="11"/>
  <c r="C110" i="11"/>
  <c r="D110" i="11"/>
  <c r="E110" i="11"/>
  <c r="F110" i="11"/>
  <c r="A111" i="11"/>
  <c r="B111" i="11"/>
  <c r="C111" i="11"/>
  <c r="D111" i="11"/>
  <c r="E111" i="11"/>
  <c r="F111" i="11"/>
  <c r="A112" i="11"/>
  <c r="B112" i="11"/>
  <c r="C112" i="11"/>
  <c r="D112" i="11"/>
  <c r="E112" i="11"/>
  <c r="F112" i="11"/>
  <c r="A113" i="11"/>
  <c r="B113" i="11"/>
  <c r="C113" i="11"/>
  <c r="D113" i="11"/>
  <c r="E113" i="11"/>
  <c r="F113" i="11"/>
  <c r="A114" i="11"/>
  <c r="B114" i="11"/>
  <c r="C114" i="11"/>
  <c r="D114" i="11"/>
  <c r="E114" i="11"/>
  <c r="F114" i="11"/>
  <c r="A115" i="11"/>
  <c r="B115" i="11"/>
  <c r="C115" i="11"/>
  <c r="D115" i="11"/>
  <c r="E115" i="11"/>
  <c r="F115" i="11"/>
  <c r="A116" i="11"/>
  <c r="B116" i="11"/>
  <c r="C116" i="11"/>
  <c r="D116" i="11"/>
  <c r="E116" i="11"/>
  <c r="F116" i="11"/>
  <c r="A117" i="11"/>
  <c r="B117" i="11"/>
  <c r="C117" i="11"/>
  <c r="D117" i="11"/>
  <c r="E117" i="11"/>
  <c r="F117" i="11"/>
  <c r="A118" i="11"/>
  <c r="B118" i="11"/>
  <c r="C118" i="11"/>
  <c r="D118" i="11"/>
  <c r="E118" i="11"/>
  <c r="F118" i="11"/>
  <c r="A119" i="11"/>
  <c r="B119" i="11"/>
  <c r="C119" i="11"/>
  <c r="D119" i="11"/>
  <c r="E119" i="11"/>
  <c r="F119" i="11"/>
  <c r="A120" i="11"/>
  <c r="B120" i="11"/>
  <c r="C120" i="11"/>
  <c r="D120" i="11"/>
  <c r="E120" i="11"/>
  <c r="F120" i="11"/>
  <c r="A121" i="11"/>
  <c r="B121" i="11"/>
  <c r="C121" i="11"/>
  <c r="D121" i="11"/>
  <c r="E121" i="11"/>
  <c r="F121" i="11"/>
  <c r="A122" i="11"/>
  <c r="B122" i="11"/>
  <c r="C122" i="11"/>
  <c r="D122" i="11"/>
  <c r="E122" i="11"/>
  <c r="F122" i="11"/>
  <c r="A123" i="11"/>
  <c r="B123" i="11"/>
  <c r="C123" i="11"/>
  <c r="D123" i="11"/>
  <c r="E123" i="11"/>
  <c r="F123" i="11"/>
  <c r="A124" i="11"/>
  <c r="B124" i="11"/>
  <c r="C124" i="11"/>
  <c r="D124" i="11"/>
  <c r="E124" i="11"/>
  <c r="F124" i="11"/>
  <c r="A125" i="11"/>
  <c r="B125" i="11"/>
  <c r="C125" i="11"/>
  <c r="D125" i="11"/>
  <c r="E125" i="11"/>
  <c r="F125" i="11"/>
  <c r="A126" i="11"/>
  <c r="B126" i="11"/>
  <c r="C126" i="11"/>
  <c r="D126" i="11"/>
  <c r="E126" i="11"/>
  <c r="F126" i="11"/>
  <c r="A127" i="11"/>
  <c r="B127" i="11"/>
  <c r="C127" i="11"/>
  <c r="D127" i="11"/>
  <c r="E127" i="11"/>
  <c r="F127" i="11"/>
  <c r="A128" i="11"/>
  <c r="B128" i="11"/>
  <c r="C128" i="11"/>
  <c r="D128" i="11"/>
  <c r="E128" i="11"/>
  <c r="F128" i="11"/>
  <c r="A129" i="11"/>
  <c r="B129" i="11"/>
  <c r="C129" i="11"/>
  <c r="D129" i="11"/>
  <c r="E129" i="11"/>
  <c r="F129" i="11"/>
  <c r="A130" i="11"/>
  <c r="B130" i="11"/>
  <c r="C130" i="11"/>
  <c r="D130" i="11"/>
  <c r="E130" i="11"/>
  <c r="F130" i="11"/>
  <c r="A131" i="11"/>
  <c r="B131" i="11"/>
  <c r="C131" i="11"/>
  <c r="D131" i="11"/>
  <c r="E131" i="11"/>
  <c r="F131" i="11"/>
  <c r="A132" i="11"/>
  <c r="B132" i="11"/>
  <c r="C132" i="11"/>
  <c r="D132" i="11"/>
  <c r="E132" i="11"/>
  <c r="F132" i="11"/>
  <c r="A133" i="11"/>
  <c r="B133" i="11"/>
  <c r="C133" i="11"/>
  <c r="D133" i="11"/>
  <c r="E133" i="11"/>
  <c r="F133" i="11"/>
  <c r="A134" i="11"/>
  <c r="B134" i="11"/>
  <c r="C134" i="11"/>
  <c r="D134" i="11"/>
  <c r="E134" i="11"/>
  <c r="F134" i="11"/>
  <c r="A135" i="11"/>
  <c r="B135" i="11"/>
  <c r="C135" i="11"/>
  <c r="D135" i="11"/>
  <c r="E135" i="11"/>
  <c r="F135" i="11"/>
  <c r="A136" i="11"/>
  <c r="B136" i="11"/>
  <c r="C136" i="11"/>
  <c r="D136" i="11"/>
  <c r="E136" i="11"/>
  <c r="F136" i="11"/>
  <c r="A137" i="11"/>
  <c r="B137" i="11"/>
  <c r="C137" i="11"/>
  <c r="D137" i="11"/>
  <c r="E137" i="11"/>
  <c r="F137" i="11"/>
  <c r="A138" i="11"/>
  <c r="B138" i="11"/>
  <c r="C138" i="11"/>
  <c r="D138" i="11"/>
  <c r="E138" i="11"/>
  <c r="F138" i="11"/>
  <c r="A139" i="11"/>
  <c r="B139" i="11"/>
  <c r="C139" i="11"/>
  <c r="D139" i="11"/>
  <c r="E139" i="11"/>
  <c r="F139" i="11"/>
  <c r="A140" i="11"/>
  <c r="B140" i="11"/>
  <c r="C140" i="11"/>
  <c r="D140" i="11"/>
  <c r="E140" i="11"/>
  <c r="F140" i="11"/>
  <c r="A141" i="11"/>
  <c r="B141" i="11"/>
  <c r="C141" i="11"/>
  <c r="D141" i="11"/>
  <c r="E141" i="11"/>
  <c r="F141" i="11"/>
  <c r="A142" i="11"/>
  <c r="B142" i="11"/>
  <c r="C142" i="11"/>
  <c r="D142" i="11"/>
  <c r="E142" i="11"/>
  <c r="F142" i="11"/>
  <c r="A143" i="11"/>
  <c r="B143" i="11"/>
  <c r="C143" i="11"/>
  <c r="D143" i="11"/>
  <c r="E143" i="11"/>
  <c r="F143" i="11"/>
  <c r="A144" i="11"/>
  <c r="B144" i="11"/>
  <c r="C144" i="11"/>
  <c r="D144" i="11"/>
  <c r="E144" i="11"/>
  <c r="F144" i="11"/>
  <c r="A145" i="11"/>
  <c r="B145" i="11"/>
  <c r="C145" i="11"/>
  <c r="D145" i="11"/>
  <c r="E145" i="11"/>
  <c r="F145" i="11"/>
  <c r="A146" i="11"/>
  <c r="B146" i="11"/>
  <c r="C146" i="11"/>
  <c r="D146" i="11"/>
  <c r="E146" i="11"/>
  <c r="F146" i="11"/>
  <c r="A147" i="11"/>
  <c r="B147" i="11"/>
  <c r="C147" i="11"/>
  <c r="D147" i="11"/>
  <c r="E147" i="11"/>
  <c r="F147" i="11"/>
  <c r="A148" i="11"/>
  <c r="B148" i="11"/>
  <c r="C148" i="11"/>
  <c r="D148" i="11"/>
  <c r="E148" i="11"/>
  <c r="F148" i="11"/>
  <c r="A149" i="11"/>
  <c r="B149" i="11"/>
  <c r="C149" i="11"/>
  <c r="D149" i="11"/>
  <c r="E149" i="11"/>
  <c r="F149" i="11"/>
  <c r="A150" i="11"/>
  <c r="B150" i="11"/>
  <c r="C150" i="11"/>
  <c r="D150" i="11"/>
  <c r="E150" i="11"/>
  <c r="F150" i="11"/>
  <c r="A151" i="11"/>
  <c r="B151" i="11"/>
  <c r="C151" i="11"/>
  <c r="D151" i="11"/>
  <c r="E151" i="11"/>
  <c r="F151" i="11"/>
  <c r="A152" i="11"/>
  <c r="B152" i="11"/>
  <c r="C152" i="11"/>
  <c r="D152" i="11"/>
  <c r="E152" i="11"/>
  <c r="F152" i="11"/>
  <c r="A153" i="11"/>
  <c r="B153" i="11"/>
  <c r="C153" i="11"/>
  <c r="D153" i="11"/>
  <c r="E153" i="11"/>
  <c r="F153" i="11"/>
  <c r="A154" i="11"/>
  <c r="B154" i="11"/>
  <c r="C154" i="11"/>
  <c r="D154" i="11"/>
  <c r="E154" i="11"/>
  <c r="F154" i="11"/>
  <c r="A155" i="11"/>
  <c r="B155" i="11"/>
  <c r="C155" i="11"/>
  <c r="D155" i="11"/>
  <c r="E155" i="11"/>
  <c r="F155" i="11"/>
  <c r="A156" i="11"/>
  <c r="B156" i="11"/>
  <c r="C156" i="11"/>
  <c r="D156" i="11"/>
  <c r="E156" i="11"/>
  <c r="F156" i="11"/>
  <c r="A157" i="11"/>
  <c r="B157" i="11"/>
  <c r="C157" i="11"/>
  <c r="D157" i="11"/>
  <c r="E157" i="11"/>
  <c r="F157" i="11"/>
  <c r="A158" i="11"/>
  <c r="B158" i="11"/>
  <c r="C158" i="11"/>
  <c r="D158" i="11"/>
  <c r="E158" i="11"/>
  <c r="F158" i="11"/>
  <c r="A159" i="11"/>
  <c r="B159" i="11"/>
  <c r="C159" i="11"/>
  <c r="D159" i="11"/>
  <c r="E159" i="11"/>
  <c r="F159" i="11"/>
  <c r="A160" i="11"/>
  <c r="B160" i="11"/>
  <c r="C160" i="11"/>
  <c r="D160" i="11"/>
  <c r="E160" i="11"/>
  <c r="F160" i="11"/>
  <c r="A161" i="11"/>
  <c r="B161" i="11"/>
  <c r="C161" i="11"/>
  <c r="D161" i="11"/>
  <c r="E161" i="11"/>
  <c r="F161" i="11"/>
  <c r="A162" i="11"/>
  <c r="B162" i="11"/>
  <c r="C162" i="11"/>
  <c r="D162" i="11"/>
  <c r="E162" i="11"/>
  <c r="F162" i="11"/>
  <c r="A163" i="11"/>
  <c r="B163" i="11"/>
  <c r="C163" i="11"/>
  <c r="D163" i="11"/>
  <c r="E163" i="11"/>
  <c r="F163" i="11"/>
  <c r="A164" i="11"/>
  <c r="B164" i="11"/>
  <c r="C164" i="11"/>
  <c r="D164" i="11"/>
  <c r="E164" i="11"/>
  <c r="F164" i="11"/>
  <c r="A165" i="11"/>
  <c r="B165" i="11"/>
  <c r="C165" i="11"/>
  <c r="D165" i="11"/>
  <c r="E165" i="11"/>
  <c r="F165" i="11"/>
  <c r="A166" i="11"/>
  <c r="B166" i="11"/>
  <c r="C166" i="11"/>
  <c r="D166" i="11"/>
  <c r="E166" i="11"/>
  <c r="F166" i="11"/>
  <c r="A167" i="11"/>
  <c r="B167" i="11"/>
  <c r="C167" i="11"/>
  <c r="D167" i="11"/>
  <c r="E167" i="11"/>
  <c r="F167" i="11"/>
  <c r="A168" i="11"/>
  <c r="B168" i="11"/>
  <c r="C168" i="11"/>
  <c r="D168" i="11"/>
  <c r="E168" i="11"/>
  <c r="F168" i="11"/>
  <c r="A169" i="11"/>
  <c r="B169" i="11"/>
  <c r="C169" i="11"/>
  <c r="D169" i="11"/>
  <c r="E169" i="11"/>
  <c r="F169" i="11"/>
  <c r="A170" i="11"/>
  <c r="B170" i="11"/>
  <c r="C170" i="11"/>
  <c r="D170" i="11"/>
  <c r="E170" i="11"/>
  <c r="F170" i="11"/>
  <c r="A171" i="11"/>
  <c r="B171" i="11"/>
  <c r="C171" i="11"/>
  <c r="D171" i="11"/>
  <c r="E171" i="11"/>
  <c r="F171" i="11"/>
  <c r="A172" i="11"/>
  <c r="B172" i="11"/>
  <c r="C172" i="11"/>
  <c r="D172" i="11"/>
  <c r="E172" i="11"/>
  <c r="F172" i="11"/>
  <c r="A173" i="11"/>
  <c r="B173" i="11"/>
  <c r="C173" i="11"/>
  <c r="D173" i="11"/>
  <c r="E173" i="11"/>
  <c r="F173" i="11"/>
  <c r="A174" i="11"/>
  <c r="B174" i="11"/>
  <c r="C174" i="11"/>
  <c r="D174" i="11"/>
  <c r="E174" i="11"/>
  <c r="F174" i="11"/>
  <c r="A175" i="11"/>
  <c r="B175" i="11"/>
  <c r="C175" i="11"/>
  <c r="D175" i="11"/>
  <c r="E175" i="11"/>
  <c r="F175" i="11"/>
  <c r="A176" i="11"/>
  <c r="B176" i="11"/>
  <c r="C176" i="11"/>
  <c r="D176" i="11"/>
  <c r="E176" i="11"/>
  <c r="F176" i="11"/>
  <c r="A177" i="11"/>
  <c r="B177" i="11"/>
  <c r="C177" i="11"/>
  <c r="D177" i="11"/>
  <c r="E177" i="11"/>
  <c r="F177" i="11"/>
  <c r="A178" i="11"/>
  <c r="B178" i="11"/>
  <c r="C178" i="11"/>
  <c r="D178" i="11"/>
  <c r="E178" i="11"/>
  <c r="F178" i="11"/>
  <c r="A179" i="11"/>
  <c r="B179" i="11"/>
  <c r="C179" i="11"/>
  <c r="D179" i="11"/>
  <c r="E179" i="11"/>
  <c r="F179" i="11"/>
  <c r="A180" i="11"/>
  <c r="B180" i="11"/>
  <c r="C180" i="11"/>
  <c r="D180" i="11"/>
  <c r="E180" i="11"/>
  <c r="F180" i="11"/>
  <c r="A181" i="11"/>
  <c r="B181" i="11"/>
  <c r="C181" i="11"/>
  <c r="D181" i="11"/>
  <c r="E181" i="11"/>
  <c r="F181" i="11"/>
  <c r="A182" i="11"/>
  <c r="B182" i="11"/>
  <c r="C182" i="11"/>
  <c r="D182" i="11"/>
  <c r="E182" i="11"/>
  <c r="F182" i="11"/>
  <c r="A183" i="11"/>
  <c r="B183" i="11"/>
  <c r="C183" i="11"/>
  <c r="D183" i="11"/>
  <c r="E183" i="11"/>
  <c r="F183" i="11"/>
  <c r="A184" i="11"/>
  <c r="B184" i="11"/>
  <c r="C184" i="11"/>
  <c r="D184" i="11"/>
  <c r="E184" i="11"/>
  <c r="F184" i="11"/>
  <c r="A185" i="11"/>
  <c r="B185" i="11"/>
  <c r="C185" i="11"/>
  <c r="D185" i="11"/>
  <c r="E185" i="11"/>
  <c r="F185" i="11"/>
  <c r="A186" i="11"/>
  <c r="B186" i="11"/>
  <c r="C186" i="11"/>
  <c r="D186" i="11"/>
  <c r="E186" i="11"/>
  <c r="F186" i="11"/>
  <c r="A187" i="11"/>
  <c r="B187" i="11"/>
  <c r="C187" i="11"/>
  <c r="D187" i="11"/>
  <c r="E187" i="11"/>
  <c r="F187" i="11"/>
  <c r="A188" i="11"/>
  <c r="B188" i="11"/>
  <c r="C188" i="11"/>
  <c r="D188" i="11"/>
  <c r="E188" i="11"/>
  <c r="F188" i="11"/>
  <c r="A189" i="11"/>
  <c r="B189" i="11"/>
  <c r="C189" i="11"/>
  <c r="D189" i="11"/>
  <c r="E189" i="11"/>
  <c r="F189" i="11"/>
  <c r="A190" i="11"/>
  <c r="B190" i="11"/>
  <c r="C190" i="11"/>
  <c r="D190" i="11"/>
  <c r="E190" i="11"/>
  <c r="F190" i="11"/>
  <c r="A191" i="11"/>
  <c r="B191" i="11"/>
  <c r="C191" i="11"/>
  <c r="D191" i="11"/>
  <c r="E191" i="11"/>
  <c r="F191" i="11"/>
  <c r="A192" i="11"/>
  <c r="B192" i="11"/>
  <c r="C192" i="11"/>
  <c r="D192" i="11"/>
  <c r="E192" i="11"/>
  <c r="F192" i="11"/>
  <c r="A193" i="11"/>
  <c r="B193" i="11"/>
  <c r="C193" i="11"/>
  <c r="D193" i="11"/>
  <c r="E193" i="11"/>
  <c r="F193" i="11"/>
  <c r="A194" i="11"/>
  <c r="B194" i="11"/>
  <c r="C194" i="11"/>
  <c r="D194" i="11"/>
  <c r="E194" i="11"/>
  <c r="F194" i="11"/>
  <c r="A195" i="11"/>
  <c r="B195" i="11"/>
  <c r="C195" i="11"/>
  <c r="D195" i="11"/>
  <c r="E195" i="11"/>
  <c r="F195" i="11"/>
  <c r="A196" i="11"/>
  <c r="B196" i="11"/>
  <c r="C196" i="11"/>
  <c r="D196" i="11"/>
  <c r="E196" i="11"/>
  <c r="F196" i="11"/>
  <c r="A197" i="11"/>
  <c r="B197" i="11"/>
  <c r="C197" i="11"/>
  <c r="D197" i="11"/>
  <c r="E197" i="11"/>
  <c r="F197" i="11"/>
  <c r="A198" i="11"/>
  <c r="B198" i="11"/>
  <c r="C198" i="11"/>
  <c r="D198" i="11"/>
  <c r="E198" i="11"/>
  <c r="F198" i="11"/>
  <c r="A199" i="11"/>
  <c r="B199" i="11"/>
  <c r="C199" i="11"/>
  <c r="D199" i="11"/>
  <c r="E199" i="11"/>
  <c r="F199" i="11"/>
  <c r="A200" i="11"/>
  <c r="B200" i="11"/>
  <c r="C200" i="11"/>
  <c r="D200" i="11"/>
  <c r="E200" i="11"/>
  <c r="F200" i="11"/>
  <c r="A201" i="11"/>
  <c r="A191" i="19" s="1"/>
  <c r="B201" i="11"/>
  <c r="C201" i="11"/>
  <c r="C191" i="19" s="1"/>
  <c r="D201" i="11"/>
  <c r="D191" i="19" s="1"/>
  <c r="E201" i="11"/>
  <c r="E191" i="19" s="1"/>
  <c r="F201" i="11"/>
  <c r="A202" i="11"/>
  <c r="B202" i="11"/>
  <c r="B192" i="19" s="1"/>
  <c r="C202" i="11"/>
  <c r="C192" i="19" s="1"/>
  <c r="D202" i="11"/>
  <c r="D192" i="19" s="1"/>
  <c r="E202" i="11"/>
  <c r="F202" i="11"/>
  <c r="A203" i="11"/>
  <c r="A193" i="19" s="1"/>
  <c r="B203" i="11"/>
  <c r="B193" i="19" s="1"/>
  <c r="C203" i="11"/>
  <c r="C193" i="19" s="1"/>
  <c r="D203" i="11"/>
  <c r="D193" i="19" s="1"/>
  <c r="E203" i="11"/>
  <c r="E193" i="19" s="1"/>
  <c r="F203" i="11"/>
  <c r="A204" i="11"/>
  <c r="B204" i="11"/>
  <c r="B194" i="19" s="1"/>
  <c r="C204" i="11"/>
  <c r="C194" i="19" s="1"/>
  <c r="D204" i="11"/>
  <c r="D194" i="19" s="1"/>
  <c r="E204" i="11"/>
  <c r="E194" i="19" s="1"/>
  <c r="F204" i="11"/>
  <c r="A205" i="11"/>
  <c r="B205" i="11"/>
  <c r="C205" i="11"/>
  <c r="D205" i="11"/>
  <c r="D195" i="19" s="1"/>
  <c r="E205" i="11"/>
  <c r="E195" i="19" s="1"/>
  <c r="F205" i="11"/>
  <c r="A206" i="11"/>
  <c r="B206" i="11"/>
  <c r="C206" i="11"/>
  <c r="D206" i="11"/>
  <c r="E206" i="11"/>
  <c r="F206" i="11"/>
  <c r="A207" i="11"/>
  <c r="A197" i="19" s="1"/>
  <c r="B207" i="11"/>
  <c r="B197" i="19" s="1"/>
  <c r="C207" i="11"/>
  <c r="D207" i="11"/>
  <c r="E207" i="11"/>
  <c r="F207" i="11"/>
  <c r="A208" i="11"/>
  <c r="A198" i="19" s="1"/>
  <c r="B208" i="11"/>
  <c r="B198" i="19" s="1"/>
  <c r="C208" i="11"/>
  <c r="C198" i="19" s="1"/>
  <c r="D208" i="11"/>
  <c r="D198" i="19" s="1"/>
  <c r="E208" i="11"/>
  <c r="F208" i="11"/>
  <c r="A209" i="11"/>
  <c r="A199" i="19" s="1"/>
  <c r="B209" i="11"/>
  <c r="C209" i="11"/>
  <c r="C199" i="19" s="1"/>
  <c r="D209" i="11"/>
  <c r="D199" i="19" s="1"/>
  <c r="E209" i="11"/>
  <c r="E199" i="19" s="1"/>
  <c r="F209" i="11"/>
  <c r="A210" i="11"/>
  <c r="B210" i="11"/>
  <c r="B200" i="19" s="1"/>
  <c r="C210" i="11"/>
  <c r="C200" i="19" s="1"/>
  <c r="D210" i="11"/>
  <c r="D200" i="19" s="1"/>
  <c r="E210" i="11"/>
  <c r="F210" i="11"/>
  <c r="A211" i="11"/>
  <c r="A201" i="19" s="1"/>
  <c r="B211" i="11"/>
  <c r="B201" i="19" s="1"/>
  <c r="C211" i="11"/>
  <c r="C201" i="19" s="1"/>
  <c r="D211" i="11"/>
  <c r="D201" i="19" s="1"/>
  <c r="E211" i="11"/>
  <c r="E201" i="19" s="1"/>
  <c r="F211" i="11"/>
  <c r="A212" i="11"/>
  <c r="B212" i="11"/>
  <c r="B202" i="19" s="1"/>
  <c r="C212" i="11"/>
  <c r="C202" i="19" s="1"/>
  <c r="D212" i="11"/>
  <c r="D202" i="19" s="1"/>
  <c r="E212" i="11"/>
  <c r="E202" i="19" s="1"/>
  <c r="F212" i="11"/>
  <c r="A213" i="11"/>
  <c r="A203" i="19" s="1"/>
  <c r="B213" i="11"/>
  <c r="C213" i="11"/>
  <c r="D213" i="11"/>
  <c r="D203" i="19" s="1"/>
  <c r="E213" i="11"/>
  <c r="E203" i="19" s="1"/>
  <c r="F213" i="11"/>
  <c r="A214" i="11"/>
  <c r="B214" i="11"/>
  <c r="C214" i="11"/>
  <c r="C204" i="19" s="1"/>
  <c r="D214" i="11"/>
  <c r="E214" i="11"/>
  <c r="F214" i="11"/>
  <c r="A215" i="11"/>
  <c r="A205" i="19" s="1"/>
  <c r="B215" i="11"/>
  <c r="B205" i="19" s="1"/>
  <c r="C215" i="11"/>
  <c r="D215" i="11"/>
  <c r="E215" i="11"/>
  <c r="E205" i="19" s="1"/>
  <c r="F215" i="11"/>
  <c r="A216" i="11"/>
  <c r="A206" i="19" s="1"/>
  <c r="B216" i="11"/>
  <c r="B206" i="19" s="1"/>
  <c r="C216" i="11"/>
  <c r="C206" i="19" s="1"/>
  <c r="D216" i="11"/>
  <c r="D206" i="19" s="1"/>
  <c r="E216" i="11"/>
  <c r="F216" i="11"/>
  <c r="A217" i="11"/>
  <c r="A207" i="19" s="1"/>
  <c r="B217" i="11"/>
  <c r="C217" i="11"/>
  <c r="C207" i="19" s="1"/>
  <c r="D217" i="11"/>
  <c r="D207" i="19" s="1"/>
  <c r="E217" i="11"/>
  <c r="E207" i="19" s="1"/>
  <c r="F217" i="11"/>
  <c r="A218" i="11"/>
  <c r="B218" i="11"/>
  <c r="B208" i="19" s="1"/>
  <c r="C218" i="11"/>
  <c r="C208" i="19" s="1"/>
  <c r="D218" i="11"/>
  <c r="D208" i="19" s="1"/>
  <c r="E218" i="11"/>
  <c r="F218" i="11"/>
  <c r="A219" i="11"/>
  <c r="A209" i="19" s="1"/>
  <c r="B219" i="11"/>
  <c r="B209" i="19" s="1"/>
  <c r="C219" i="11"/>
  <c r="C209" i="19" s="1"/>
  <c r="D219" i="11"/>
  <c r="D209" i="19" s="1"/>
  <c r="E219" i="11"/>
  <c r="E209" i="19" s="1"/>
  <c r="F219" i="11"/>
  <c r="A220" i="11"/>
  <c r="B220" i="11"/>
  <c r="B210" i="19" s="1"/>
  <c r="C220" i="11"/>
  <c r="C210" i="19" s="1"/>
  <c r="D220" i="11"/>
  <c r="D210" i="19" s="1"/>
  <c r="E220" i="11"/>
  <c r="E210" i="19" s="1"/>
  <c r="F220" i="11"/>
  <c r="A221" i="11"/>
  <c r="A211" i="19" s="1"/>
  <c r="B221" i="11"/>
  <c r="C221" i="11"/>
  <c r="D221" i="11"/>
  <c r="D211" i="19" s="1"/>
  <c r="E221" i="11"/>
  <c r="E211" i="19" s="1"/>
  <c r="F221" i="11"/>
  <c r="A222" i="11"/>
  <c r="B222" i="11"/>
  <c r="C222" i="11"/>
  <c r="D222" i="11"/>
  <c r="E222" i="11"/>
  <c r="F222" i="11"/>
  <c r="A223" i="11"/>
  <c r="A213" i="19" s="1"/>
  <c r="B223" i="11"/>
  <c r="B213" i="19" s="1"/>
  <c r="C223" i="11"/>
  <c r="D223" i="11"/>
  <c r="E223" i="11"/>
  <c r="F223" i="11"/>
  <c r="A224" i="11"/>
  <c r="A214" i="19" s="1"/>
  <c r="B224" i="11"/>
  <c r="B214" i="19" s="1"/>
  <c r="C224" i="11"/>
  <c r="C214" i="19" s="1"/>
  <c r="D224" i="11"/>
  <c r="D214" i="19" s="1"/>
  <c r="E224" i="11"/>
  <c r="F224" i="11"/>
  <c r="A225" i="11"/>
  <c r="A215" i="19" s="1"/>
  <c r="B225" i="11"/>
  <c r="C225" i="11"/>
  <c r="C215" i="19" s="1"/>
  <c r="D225" i="11"/>
  <c r="D215" i="19" s="1"/>
  <c r="E225" i="11"/>
  <c r="E215" i="19" s="1"/>
  <c r="F225" i="11"/>
  <c r="A226" i="11"/>
  <c r="B226" i="11"/>
  <c r="C226" i="11"/>
  <c r="C216" i="19" s="1"/>
  <c r="D226" i="11"/>
  <c r="D216" i="19" s="1"/>
  <c r="E226" i="11"/>
  <c r="F226" i="11"/>
  <c r="A227" i="11"/>
  <c r="A217" i="19" s="1"/>
  <c r="B227" i="11"/>
  <c r="B217" i="19" s="1"/>
  <c r="C227" i="11"/>
  <c r="C217" i="19" s="1"/>
  <c r="D227" i="11"/>
  <c r="D217" i="19" s="1"/>
  <c r="E227" i="11"/>
  <c r="E217" i="19" s="1"/>
  <c r="F227" i="11"/>
  <c r="A228" i="11"/>
  <c r="B228" i="11"/>
  <c r="B218" i="19" s="1"/>
  <c r="C228" i="11"/>
  <c r="C218" i="19" s="1"/>
  <c r="D228" i="11"/>
  <c r="D218" i="19" s="1"/>
  <c r="E228" i="11"/>
  <c r="E218" i="19" s="1"/>
  <c r="F228" i="11"/>
  <c r="A229" i="11"/>
  <c r="A219" i="19" s="1"/>
  <c r="B229" i="11"/>
  <c r="C229" i="11"/>
  <c r="D229" i="11"/>
  <c r="D219" i="19" s="1"/>
  <c r="E229" i="11"/>
  <c r="E219" i="19" s="1"/>
  <c r="F229" i="11"/>
  <c r="A230" i="11"/>
  <c r="B230" i="11"/>
  <c r="C230" i="11"/>
  <c r="C220" i="19" s="1"/>
  <c r="D230" i="11"/>
  <c r="E230" i="11"/>
  <c r="F230" i="11"/>
  <c r="A231" i="11"/>
  <c r="A221" i="19" s="1"/>
  <c r="B231" i="11"/>
  <c r="B221" i="19" s="1"/>
  <c r="C231" i="11"/>
  <c r="D231" i="11"/>
  <c r="D221" i="19" s="1"/>
  <c r="E231" i="11"/>
  <c r="E221" i="19" s="1"/>
  <c r="F231" i="11"/>
  <c r="A232" i="11"/>
  <c r="A222" i="19" s="1"/>
  <c r="B232" i="11"/>
  <c r="B222" i="19" s="1"/>
  <c r="C232" i="11"/>
  <c r="C222" i="19" s="1"/>
  <c r="D232" i="11"/>
  <c r="D222" i="19" s="1"/>
  <c r="E232" i="11"/>
  <c r="F232" i="11"/>
  <c r="A233" i="11"/>
  <c r="A223" i="19" s="1"/>
  <c r="B233" i="11"/>
  <c r="B223" i="19" s="1"/>
  <c r="C233" i="11"/>
  <c r="C223" i="19" s="1"/>
  <c r="D233" i="11"/>
  <c r="D223" i="19" s="1"/>
  <c r="E233" i="11"/>
  <c r="E223" i="19" s="1"/>
  <c r="F233" i="11"/>
  <c r="A234" i="11"/>
  <c r="B234" i="11"/>
  <c r="B224" i="19" s="1"/>
  <c r="C234" i="11"/>
  <c r="C224" i="19" s="1"/>
  <c r="D234" i="11"/>
  <c r="D224" i="19" s="1"/>
  <c r="E234" i="11"/>
  <c r="E224" i="19" s="1"/>
  <c r="F234" i="11"/>
  <c r="A235" i="11"/>
  <c r="B235" i="11"/>
  <c r="B225" i="19" s="1"/>
  <c r="C235" i="11"/>
  <c r="C225" i="19" s="1"/>
  <c r="D235" i="11"/>
  <c r="D225" i="19" s="1"/>
  <c r="E235" i="11"/>
  <c r="E225" i="19" s="1"/>
  <c r="F235" i="11"/>
  <c r="A236" i="11"/>
  <c r="A226" i="19" s="1"/>
  <c r="B236" i="11"/>
  <c r="B226" i="19" s="1"/>
  <c r="C236" i="11"/>
  <c r="C226" i="19" s="1"/>
  <c r="D236" i="11"/>
  <c r="D226" i="19" s="1"/>
  <c r="E236" i="11"/>
  <c r="E226" i="19" s="1"/>
  <c r="F236" i="11"/>
  <c r="A237" i="11"/>
  <c r="A227" i="19" s="1"/>
  <c r="B237" i="11"/>
  <c r="C237" i="11"/>
  <c r="C227" i="19" s="1"/>
  <c r="D237" i="11"/>
  <c r="D227" i="19" s="1"/>
  <c r="E237" i="11"/>
  <c r="E227" i="19" s="1"/>
  <c r="F237" i="11"/>
  <c r="A238" i="11"/>
  <c r="B238" i="11"/>
  <c r="B228" i="19" s="1"/>
  <c r="C238" i="11"/>
  <c r="C228" i="19" s="1"/>
  <c r="D238" i="11"/>
  <c r="E238" i="11"/>
  <c r="E228" i="19" s="1"/>
  <c r="F238" i="11"/>
  <c r="A239" i="11"/>
  <c r="A229" i="19" s="1"/>
  <c r="B239" i="11"/>
  <c r="B229" i="19" s="1"/>
  <c r="C239" i="11"/>
  <c r="D239" i="11"/>
  <c r="D229" i="19" s="1"/>
  <c r="E239" i="11"/>
  <c r="F239" i="11"/>
  <c r="G179" i="13"/>
  <c r="G183" i="13" s="1"/>
  <c r="G187" i="13" s="1"/>
  <c r="G191" i="13" s="1"/>
  <c r="G195" i="13" s="1"/>
  <c r="G199" i="13" s="1"/>
  <c r="G203" i="13" s="1"/>
  <c r="G180" i="13"/>
  <c r="G184" i="13" s="1"/>
  <c r="G188" i="13" s="1"/>
  <c r="G192" i="13" s="1"/>
  <c r="G196" i="13" s="1"/>
  <c r="G200" i="13" s="1"/>
  <c r="G204" i="13" s="1"/>
  <c r="G181" i="13"/>
  <c r="G185" i="13" s="1"/>
  <c r="G189" i="13" s="1"/>
  <c r="G193" i="13" s="1"/>
  <c r="G197" i="13" s="1"/>
  <c r="G201" i="13" s="1"/>
  <c r="G205" i="13" s="1"/>
  <c r="G178" i="13"/>
  <c r="G182" i="13" s="1"/>
  <c r="G186" i="13" s="1"/>
  <c r="G190" i="13" s="1"/>
  <c r="G194" i="13" s="1"/>
  <c r="G198" i="13" s="1"/>
  <c r="G202" i="13" s="1"/>
  <c r="I84" i="13"/>
  <c r="G147" i="13"/>
  <c r="G32" i="13"/>
  <c r="G155" i="13"/>
  <c r="G154" i="13"/>
  <c r="G153" i="13"/>
  <c r="A230" i="19"/>
  <c r="B230" i="19"/>
  <c r="C230" i="19"/>
  <c r="D230" i="19"/>
  <c r="E230" i="19"/>
  <c r="F230" i="19"/>
  <c r="G230" i="19"/>
  <c r="H230" i="19"/>
  <c r="A231" i="19"/>
  <c r="B231" i="19"/>
  <c r="C231" i="19"/>
  <c r="D231" i="19"/>
  <c r="E231" i="19"/>
  <c r="F231" i="19"/>
  <c r="G231" i="19"/>
  <c r="H231" i="19"/>
  <c r="A232" i="19"/>
  <c r="B232" i="19"/>
  <c r="C232" i="19"/>
  <c r="D232" i="19"/>
  <c r="E232" i="19"/>
  <c r="F232" i="19"/>
  <c r="G232" i="19"/>
  <c r="H232" i="19"/>
  <c r="A233" i="19"/>
  <c r="B233" i="19"/>
  <c r="C233" i="19"/>
  <c r="D233" i="19"/>
  <c r="E233" i="19"/>
  <c r="F233" i="19"/>
  <c r="G233" i="19"/>
  <c r="H233" i="19"/>
  <c r="A234" i="19"/>
  <c r="B234" i="19"/>
  <c r="C234" i="19"/>
  <c r="D234" i="19"/>
  <c r="E234" i="19"/>
  <c r="F234" i="19"/>
  <c r="G234" i="19"/>
  <c r="H234" i="19"/>
  <c r="A235" i="19"/>
  <c r="B235" i="19"/>
  <c r="C235" i="19"/>
  <c r="D235" i="19"/>
  <c r="E235" i="19"/>
  <c r="F235" i="19"/>
  <c r="G235" i="19"/>
  <c r="H235" i="19"/>
  <c r="A236" i="19"/>
  <c r="B236" i="19"/>
  <c r="C236" i="19"/>
  <c r="D236" i="19"/>
  <c r="E236" i="19"/>
  <c r="F236" i="19"/>
  <c r="G236" i="19"/>
  <c r="H236" i="19"/>
  <c r="A237" i="19"/>
  <c r="B237" i="19"/>
  <c r="C237" i="19"/>
  <c r="D237" i="19"/>
  <c r="E237" i="19"/>
  <c r="F237" i="19"/>
  <c r="G237" i="19"/>
  <c r="H237" i="19"/>
  <c r="A238" i="19"/>
  <c r="B238" i="19"/>
  <c r="C238" i="19"/>
  <c r="D238" i="19"/>
  <c r="E238" i="19"/>
  <c r="F238" i="19"/>
  <c r="G238" i="19"/>
  <c r="H238" i="19"/>
  <c r="A239" i="19"/>
  <c r="B239" i="19"/>
  <c r="C239" i="19"/>
  <c r="D239" i="19"/>
  <c r="E239" i="19"/>
  <c r="F239" i="19"/>
  <c r="G239" i="19"/>
  <c r="H239" i="19"/>
  <c r="A240" i="19"/>
  <c r="B240" i="19"/>
  <c r="C240" i="19"/>
  <c r="D240" i="19"/>
  <c r="E240" i="19"/>
  <c r="F240" i="19"/>
  <c r="G240" i="19"/>
  <c r="H240" i="19"/>
  <c r="A241" i="19"/>
  <c r="B241" i="19"/>
  <c r="C241" i="19"/>
  <c r="D241" i="19"/>
  <c r="E241" i="19"/>
  <c r="F241" i="19"/>
  <c r="G241" i="19"/>
  <c r="H241" i="19"/>
  <c r="A242" i="19"/>
  <c r="B242" i="19"/>
  <c r="C242" i="19"/>
  <c r="D242" i="19"/>
  <c r="E242" i="19"/>
  <c r="F242" i="19"/>
  <c r="G242" i="19"/>
  <c r="H242" i="19"/>
  <c r="A243" i="19"/>
  <c r="B243" i="19"/>
  <c r="C243" i="19"/>
  <c r="D243" i="19"/>
  <c r="E243" i="19"/>
  <c r="F243" i="19"/>
  <c r="G243" i="19"/>
  <c r="H243" i="19"/>
  <c r="A244" i="19"/>
  <c r="B244" i="19"/>
  <c r="C244" i="19"/>
  <c r="D244" i="19"/>
  <c r="E244" i="19"/>
  <c r="F244" i="19"/>
  <c r="G244" i="19"/>
  <c r="H244" i="19"/>
  <c r="A245" i="19"/>
  <c r="B245" i="19"/>
  <c r="C245" i="19"/>
  <c r="D245" i="19"/>
  <c r="E245" i="19"/>
  <c r="F245" i="19"/>
  <c r="G245" i="19"/>
  <c r="H245" i="19"/>
  <c r="A246" i="19"/>
  <c r="B246" i="19"/>
  <c r="C246" i="19"/>
  <c r="D246" i="19"/>
  <c r="E246" i="19"/>
  <c r="F246" i="19"/>
  <c r="G246" i="19"/>
  <c r="H246" i="19"/>
  <c r="A247" i="19"/>
  <c r="B247" i="19"/>
  <c r="C247" i="19"/>
  <c r="D247" i="19"/>
  <c r="E247" i="19"/>
  <c r="F247" i="19"/>
  <c r="G247" i="19"/>
  <c r="H247" i="19"/>
  <c r="A248" i="19"/>
  <c r="B248" i="19"/>
  <c r="C248" i="19"/>
  <c r="D248" i="19"/>
  <c r="E248" i="19"/>
  <c r="F248" i="19"/>
  <c r="G248" i="19"/>
  <c r="H248" i="19"/>
  <c r="A249" i="19"/>
  <c r="B249" i="19"/>
  <c r="C249" i="19"/>
  <c r="D249" i="19"/>
  <c r="E249" i="19"/>
  <c r="F249" i="19"/>
  <c r="G249" i="19"/>
  <c r="H249" i="19"/>
  <c r="A250" i="19"/>
  <c r="B250" i="19"/>
  <c r="C250" i="19"/>
  <c r="D250" i="19"/>
  <c r="E250" i="19"/>
  <c r="F250" i="19"/>
  <c r="G250" i="19"/>
  <c r="H250" i="19"/>
  <c r="A251" i="19"/>
  <c r="B251" i="19"/>
  <c r="C251" i="19"/>
  <c r="D251" i="19"/>
  <c r="E251" i="19"/>
  <c r="F251" i="19"/>
  <c r="G251" i="19"/>
  <c r="H251" i="19"/>
  <c r="A252" i="19"/>
  <c r="B252" i="19"/>
  <c r="C252" i="19"/>
  <c r="D252" i="19"/>
  <c r="E252" i="19"/>
  <c r="F252" i="19"/>
  <c r="G252" i="19"/>
  <c r="H252" i="19"/>
  <c r="A253" i="19"/>
  <c r="B253" i="19"/>
  <c r="C253" i="19"/>
  <c r="D253" i="19"/>
  <c r="E253" i="19"/>
  <c r="F253" i="19"/>
  <c r="G253" i="19"/>
  <c r="H253" i="19"/>
  <c r="A254" i="19"/>
  <c r="B254" i="19"/>
  <c r="C254" i="19"/>
  <c r="D254" i="19"/>
  <c r="E254" i="19"/>
  <c r="F254" i="19"/>
  <c r="G254" i="19"/>
  <c r="H254" i="19"/>
  <c r="A255" i="19"/>
  <c r="B255" i="19"/>
  <c r="C255" i="19"/>
  <c r="D255" i="19"/>
  <c r="E255" i="19"/>
  <c r="F255" i="19"/>
  <c r="G255" i="19"/>
  <c r="H255" i="19"/>
  <c r="A256" i="19"/>
  <c r="B256" i="19"/>
  <c r="C256" i="19"/>
  <c r="D256" i="19"/>
  <c r="E256" i="19"/>
  <c r="F256" i="19"/>
  <c r="G256" i="19"/>
  <c r="H256" i="19"/>
  <c r="A257" i="19"/>
  <c r="B257" i="19"/>
  <c r="C257" i="19"/>
  <c r="D257" i="19"/>
  <c r="E257" i="19"/>
  <c r="F257" i="19"/>
  <c r="G257" i="19"/>
  <c r="H257" i="19"/>
  <c r="A258" i="19"/>
  <c r="B258" i="19"/>
  <c r="C258" i="19"/>
  <c r="D258" i="19"/>
  <c r="E258" i="19"/>
  <c r="F258" i="19"/>
  <c r="G258" i="19"/>
  <c r="H258" i="19"/>
  <c r="A259" i="19"/>
  <c r="B259" i="19"/>
  <c r="C259" i="19"/>
  <c r="D259" i="19"/>
  <c r="E259" i="19"/>
  <c r="F259" i="19"/>
  <c r="G259" i="19"/>
  <c r="H259" i="19"/>
  <c r="A260" i="19"/>
  <c r="B260" i="19"/>
  <c r="C260" i="19"/>
  <c r="D260" i="19"/>
  <c r="E260" i="19"/>
  <c r="F260" i="19"/>
  <c r="G260" i="19"/>
  <c r="H260" i="19"/>
  <c r="A261" i="19"/>
  <c r="B261" i="19"/>
  <c r="C261" i="19"/>
  <c r="D261" i="19"/>
  <c r="E261" i="19"/>
  <c r="F261" i="19"/>
  <c r="G261" i="19"/>
  <c r="H261" i="19"/>
  <c r="A262" i="19"/>
  <c r="B262" i="19"/>
  <c r="C262" i="19"/>
  <c r="D262" i="19"/>
  <c r="E262" i="19"/>
  <c r="F262" i="19"/>
  <c r="G262" i="19"/>
  <c r="H262" i="19"/>
  <c r="A263" i="19"/>
  <c r="B263" i="19"/>
  <c r="C263" i="19"/>
  <c r="D263" i="19"/>
  <c r="E263" i="19"/>
  <c r="F263" i="19"/>
  <c r="G263" i="19"/>
  <c r="H263" i="19"/>
  <c r="A264" i="19"/>
  <c r="B264" i="19"/>
  <c r="C264" i="19"/>
  <c r="D264" i="19"/>
  <c r="E264" i="19"/>
  <c r="F264" i="19"/>
  <c r="G264" i="19"/>
  <c r="H264" i="19"/>
  <c r="A265" i="19"/>
  <c r="B265" i="19"/>
  <c r="C265" i="19"/>
  <c r="D265" i="19"/>
  <c r="E265" i="19"/>
  <c r="F265" i="19"/>
  <c r="G265" i="19"/>
  <c r="H265" i="19"/>
  <c r="A266" i="19"/>
  <c r="B266" i="19"/>
  <c r="C266" i="19"/>
  <c r="D266" i="19"/>
  <c r="E266" i="19"/>
  <c r="F266" i="19"/>
  <c r="G266" i="19"/>
  <c r="H266" i="19"/>
  <c r="A267" i="19"/>
  <c r="B267" i="19"/>
  <c r="C267" i="19"/>
  <c r="D267" i="19"/>
  <c r="E267" i="19"/>
  <c r="F267" i="19"/>
  <c r="G267" i="19"/>
  <c r="H267" i="19"/>
  <c r="A268" i="19"/>
  <c r="B268" i="19"/>
  <c r="C268" i="19"/>
  <c r="D268" i="19"/>
  <c r="E268" i="19"/>
  <c r="F268" i="19"/>
  <c r="G268" i="19"/>
  <c r="H268" i="19"/>
  <c r="A269" i="19"/>
  <c r="B269" i="19"/>
  <c r="C269" i="19"/>
  <c r="D269" i="19"/>
  <c r="E269" i="19"/>
  <c r="F269" i="19"/>
  <c r="G269" i="19"/>
  <c r="H269" i="19"/>
  <c r="A270" i="19"/>
  <c r="B270" i="19"/>
  <c r="C270" i="19"/>
  <c r="D270" i="19"/>
  <c r="E270" i="19"/>
  <c r="F270" i="19"/>
  <c r="G270" i="19"/>
  <c r="H270" i="19"/>
  <c r="A271" i="19"/>
  <c r="B271" i="19"/>
  <c r="C271" i="19"/>
  <c r="D271" i="19"/>
  <c r="E271" i="19"/>
  <c r="F271" i="19"/>
  <c r="G271" i="19"/>
  <c r="H271" i="19"/>
  <c r="A272" i="19"/>
  <c r="B272" i="19"/>
  <c r="C272" i="19"/>
  <c r="D272" i="19"/>
  <c r="E272" i="19"/>
  <c r="F272" i="19"/>
  <c r="G272" i="19"/>
  <c r="H272" i="19"/>
  <c r="A273" i="19"/>
  <c r="B273" i="19"/>
  <c r="C273" i="19"/>
  <c r="D273" i="19"/>
  <c r="E273" i="19"/>
  <c r="F273" i="19"/>
  <c r="G273" i="19"/>
  <c r="H273" i="19"/>
  <c r="A274" i="19"/>
  <c r="B274" i="19"/>
  <c r="C274" i="19"/>
  <c r="D274" i="19"/>
  <c r="E274" i="19"/>
  <c r="F274" i="19"/>
  <c r="G274" i="19"/>
  <c r="H274" i="19"/>
  <c r="A275" i="19"/>
  <c r="B275" i="19"/>
  <c r="C275" i="19"/>
  <c r="D275" i="19"/>
  <c r="E275" i="19"/>
  <c r="F275" i="19"/>
  <c r="G275" i="19"/>
  <c r="H275" i="19"/>
  <c r="A276" i="19"/>
  <c r="B276" i="19"/>
  <c r="C276" i="19"/>
  <c r="D276" i="19"/>
  <c r="E276" i="19"/>
  <c r="F276" i="19"/>
  <c r="G276" i="19"/>
  <c r="H276" i="19"/>
  <c r="A277" i="19"/>
  <c r="B277" i="19"/>
  <c r="C277" i="19"/>
  <c r="D277" i="19"/>
  <c r="E277" i="19"/>
  <c r="F277" i="19"/>
  <c r="G277" i="19"/>
  <c r="H277" i="19"/>
  <c r="A278" i="19"/>
  <c r="B278" i="19"/>
  <c r="C278" i="19"/>
  <c r="D278" i="19"/>
  <c r="E278" i="19"/>
  <c r="F278" i="19"/>
  <c r="G278" i="19"/>
  <c r="H278" i="19"/>
  <c r="A279" i="19"/>
  <c r="B279" i="19"/>
  <c r="C279" i="19"/>
  <c r="D279" i="19"/>
  <c r="E279" i="19"/>
  <c r="F279" i="19"/>
  <c r="G279" i="19"/>
  <c r="H279" i="19"/>
  <c r="A280" i="19"/>
  <c r="B280" i="19"/>
  <c r="C280" i="19"/>
  <c r="D280" i="19"/>
  <c r="E280" i="19"/>
  <c r="F280" i="19"/>
  <c r="G280" i="19"/>
  <c r="H280" i="19"/>
  <c r="A281" i="19"/>
  <c r="B281" i="19"/>
  <c r="C281" i="19"/>
  <c r="D281" i="19"/>
  <c r="E281" i="19"/>
  <c r="F281" i="19"/>
  <c r="G281" i="19"/>
  <c r="H281" i="19"/>
  <c r="A282" i="19"/>
  <c r="B282" i="19"/>
  <c r="C282" i="19"/>
  <c r="D282" i="19"/>
  <c r="E282" i="19"/>
  <c r="F282" i="19"/>
  <c r="G282" i="19"/>
  <c r="H282" i="19"/>
  <c r="A283" i="19"/>
  <c r="B283" i="19"/>
  <c r="C283" i="19"/>
  <c r="D283" i="19"/>
  <c r="E283" i="19"/>
  <c r="F283" i="19"/>
  <c r="G283" i="19"/>
  <c r="H283" i="19"/>
  <c r="A284" i="19"/>
  <c r="B284" i="19"/>
  <c r="C284" i="19"/>
  <c r="D284" i="19"/>
  <c r="E284" i="19"/>
  <c r="F284" i="19"/>
  <c r="G284" i="19"/>
  <c r="H284" i="19"/>
  <c r="A285" i="19"/>
  <c r="B285" i="19"/>
  <c r="C285" i="19"/>
  <c r="D285" i="19"/>
  <c r="E285" i="19"/>
  <c r="F285" i="19"/>
  <c r="G285" i="19"/>
  <c r="H285" i="19"/>
  <c r="A286" i="19"/>
  <c r="B286" i="19"/>
  <c r="C286" i="19"/>
  <c r="D286" i="19"/>
  <c r="E286" i="19"/>
  <c r="F286" i="19"/>
  <c r="G286" i="19"/>
  <c r="H286" i="19"/>
  <c r="A287" i="19"/>
  <c r="B287" i="19"/>
  <c r="C287" i="19"/>
  <c r="D287" i="19"/>
  <c r="E287" i="19"/>
  <c r="F287" i="19"/>
  <c r="G287" i="19"/>
  <c r="H287" i="19"/>
  <c r="A288" i="19"/>
  <c r="B288" i="19"/>
  <c r="C288" i="19"/>
  <c r="D288" i="19"/>
  <c r="E288" i="19"/>
  <c r="F288" i="19"/>
  <c r="G288" i="19"/>
  <c r="H288" i="19"/>
  <c r="A289" i="19"/>
  <c r="B289" i="19"/>
  <c r="C289" i="19"/>
  <c r="D289" i="19"/>
  <c r="E289" i="19"/>
  <c r="F289" i="19"/>
  <c r="G289" i="19"/>
  <c r="H289" i="19"/>
  <c r="A290" i="19"/>
  <c r="B290" i="19"/>
  <c r="C290" i="19"/>
  <c r="D290" i="19"/>
  <c r="E290" i="19"/>
  <c r="F290" i="19"/>
  <c r="G290" i="19"/>
  <c r="H290" i="19"/>
  <c r="A291" i="19"/>
  <c r="B291" i="19"/>
  <c r="C291" i="19"/>
  <c r="D291" i="19"/>
  <c r="E291" i="19"/>
  <c r="F291" i="19"/>
  <c r="G291" i="19"/>
  <c r="H291" i="19"/>
  <c r="A292" i="19"/>
  <c r="B292" i="19"/>
  <c r="C292" i="19"/>
  <c r="D292" i="19"/>
  <c r="E292" i="19"/>
  <c r="F292" i="19"/>
  <c r="G292" i="19"/>
  <c r="H292" i="19"/>
  <c r="A293" i="19"/>
  <c r="B293" i="19"/>
  <c r="C293" i="19"/>
  <c r="D293" i="19"/>
  <c r="E293" i="19"/>
  <c r="F293" i="19"/>
  <c r="G293" i="19"/>
  <c r="H293" i="19"/>
  <c r="A294" i="19"/>
  <c r="B294" i="19"/>
  <c r="C294" i="19"/>
  <c r="D294" i="19"/>
  <c r="E294" i="19"/>
  <c r="F294" i="19"/>
  <c r="G294" i="19"/>
  <c r="H294" i="19"/>
  <c r="A295" i="19"/>
  <c r="B295" i="19"/>
  <c r="C295" i="19"/>
  <c r="D295" i="19"/>
  <c r="E295" i="19"/>
  <c r="F295" i="19"/>
  <c r="G295" i="19"/>
  <c r="H295" i="19"/>
  <c r="A296" i="19"/>
  <c r="B296" i="19"/>
  <c r="C296" i="19"/>
  <c r="D296" i="19"/>
  <c r="E296" i="19"/>
  <c r="F296" i="19"/>
  <c r="G296" i="19"/>
  <c r="H296" i="19"/>
  <c r="A297" i="19"/>
  <c r="B297" i="19"/>
  <c r="C297" i="19"/>
  <c r="D297" i="19"/>
  <c r="E297" i="19"/>
  <c r="F297" i="19"/>
  <c r="G297" i="19"/>
  <c r="H297" i="19"/>
  <c r="A298" i="19"/>
  <c r="B298" i="19"/>
  <c r="C298" i="19"/>
  <c r="D298" i="19"/>
  <c r="E298" i="19"/>
  <c r="F298" i="19"/>
  <c r="G298" i="19"/>
  <c r="H298" i="19"/>
  <c r="A299" i="19"/>
  <c r="B299" i="19"/>
  <c r="C299" i="19"/>
  <c r="D299" i="19"/>
  <c r="E299" i="19"/>
  <c r="F299" i="19"/>
  <c r="G299" i="19"/>
  <c r="H299" i="19"/>
  <c r="A300" i="19"/>
  <c r="B300" i="19"/>
  <c r="C300" i="19"/>
  <c r="D300" i="19"/>
  <c r="E300" i="19"/>
  <c r="F300" i="19"/>
  <c r="G300" i="19"/>
  <c r="H300" i="19"/>
  <c r="I191" i="19"/>
  <c r="B191" i="19"/>
  <c r="A192" i="19"/>
  <c r="E192" i="19"/>
  <c r="A194" i="19"/>
  <c r="A195" i="19"/>
  <c r="B195" i="19"/>
  <c r="C195" i="19"/>
  <c r="A196" i="19"/>
  <c r="B196" i="19"/>
  <c r="C196" i="19"/>
  <c r="D196" i="19"/>
  <c r="E196" i="19"/>
  <c r="C197" i="19"/>
  <c r="D197" i="19"/>
  <c r="E197" i="19"/>
  <c r="E198" i="19"/>
  <c r="B199" i="19"/>
  <c r="A200" i="19"/>
  <c r="E200" i="19"/>
  <c r="A202" i="19"/>
  <c r="B203" i="19"/>
  <c r="C203" i="19"/>
  <c r="A204" i="19"/>
  <c r="B204" i="19"/>
  <c r="D204" i="19"/>
  <c r="E204" i="19"/>
  <c r="C205" i="19"/>
  <c r="D205" i="19"/>
  <c r="E206" i="19"/>
  <c r="B207" i="19"/>
  <c r="A208" i="19"/>
  <c r="E208" i="19"/>
  <c r="A210" i="19"/>
  <c r="B211" i="19"/>
  <c r="C211" i="19"/>
  <c r="A212" i="19"/>
  <c r="B212" i="19"/>
  <c r="C212" i="19"/>
  <c r="D212" i="19"/>
  <c r="E212" i="19"/>
  <c r="C213" i="19"/>
  <c r="D213" i="19"/>
  <c r="E213" i="19"/>
  <c r="E214" i="19"/>
  <c r="B215" i="19"/>
  <c r="A216" i="19"/>
  <c r="B216" i="19"/>
  <c r="E216" i="19"/>
  <c r="A218" i="19"/>
  <c r="B219" i="19"/>
  <c r="C219" i="19"/>
  <c r="A220" i="19"/>
  <c r="B220" i="19"/>
  <c r="D220" i="19"/>
  <c r="E220" i="19"/>
  <c r="C221" i="19"/>
  <c r="E222" i="19"/>
  <c r="A224" i="19"/>
  <c r="A225" i="19"/>
  <c r="B227" i="19"/>
  <c r="A228" i="19"/>
  <c r="D228" i="19"/>
  <c r="C229" i="19"/>
  <c r="E229" i="19"/>
  <c r="K24" i="20"/>
  <c r="K19" i="20"/>
  <c r="K18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3" i="20"/>
  <c r="AK96" i="13"/>
  <c r="AL96" i="13" s="1"/>
  <c r="AK78" i="13"/>
  <c r="AL78" i="13" s="1"/>
  <c r="AK77" i="13"/>
  <c r="AL77" i="13" s="1"/>
  <c r="AH50" i="13"/>
  <c r="AI50" i="13" s="1"/>
  <c r="AH51" i="13"/>
  <c r="AI51" i="13" s="1"/>
  <c r="AH52" i="13"/>
  <c r="AI52" i="13" s="1"/>
  <c r="AH53" i="13"/>
  <c r="AH54" i="13"/>
  <c r="AI54" i="13" s="1"/>
  <c r="AH55" i="13"/>
  <c r="AH56" i="13"/>
  <c r="AH57" i="13"/>
  <c r="AH58" i="13"/>
  <c r="AH59" i="13"/>
  <c r="AH60" i="13"/>
  <c r="AI60" i="13" s="1"/>
  <c r="AH61" i="13"/>
  <c r="AI61" i="13" s="1"/>
  <c r="AH62" i="13"/>
  <c r="AI62" i="13" s="1"/>
  <c r="AH63" i="13"/>
  <c r="AI63" i="13" s="1"/>
  <c r="AH64" i="13"/>
  <c r="AI64" i="13" s="1"/>
  <c r="AH69" i="13"/>
  <c r="AI69" i="13" s="1"/>
  <c r="AH70" i="13"/>
  <c r="AI70" i="13" s="1"/>
  <c r="AH80" i="13"/>
  <c r="AI80" i="13" s="1"/>
  <c r="AH90" i="13"/>
  <c r="AI90" i="13" s="1"/>
  <c r="AH91" i="13"/>
  <c r="AI91" i="13" s="1"/>
  <c r="AH92" i="13"/>
  <c r="AI92" i="13" s="1"/>
  <c r="AH93" i="13"/>
  <c r="AI93" i="13" s="1"/>
  <c r="AH94" i="13"/>
  <c r="AI94" i="13" s="1"/>
  <c r="AH49" i="13"/>
  <c r="AI49" i="13" s="1"/>
  <c r="AF79" i="13"/>
  <c r="AH79" i="13" s="1"/>
  <c r="AI79" i="13" s="1"/>
  <c r="AF82" i="13"/>
  <c r="AH82" i="13" s="1"/>
  <c r="AI82" i="13" s="1"/>
  <c r="AF83" i="13"/>
  <c r="AH83" i="13" s="1"/>
  <c r="AI83" i="13" s="1"/>
  <c r="AF84" i="13"/>
  <c r="AH84" i="13" s="1"/>
  <c r="AI84" i="13" s="1"/>
  <c r="AF85" i="13"/>
  <c r="AH85" i="13" s="1"/>
  <c r="AI85" i="13" s="1"/>
  <c r="AF86" i="13"/>
  <c r="AH86" i="13" s="1"/>
  <c r="AI86" i="13" s="1"/>
  <c r="AF87" i="13"/>
  <c r="AH87" i="13" s="1"/>
  <c r="AI87" i="13" s="1"/>
  <c r="AE51" i="13"/>
  <c r="AE52" i="13"/>
  <c r="AE54" i="13"/>
  <c r="AE56" i="13"/>
  <c r="AE57" i="13"/>
  <c r="AE58" i="13"/>
  <c r="AE59" i="13"/>
  <c r="AE61" i="13"/>
  <c r="AE62" i="13"/>
  <c r="AE63" i="13"/>
  <c r="AE64" i="13"/>
  <c r="AE66" i="13"/>
  <c r="AF66" i="13" s="1"/>
  <c r="AH66" i="13" s="1"/>
  <c r="AI66" i="13" s="1"/>
  <c r="AE67" i="13"/>
  <c r="AF67" i="13" s="1"/>
  <c r="AH67" i="13" s="1"/>
  <c r="AI67" i="13" s="1"/>
  <c r="AE68" i="13"/>
  <c r="AF68" i="13" s="1"/>
  <c r="AH68" i="13" s="1"/>
  <c r="AI68" i="13" s="1"/>
  <c r="AE69" i="13"/>
  <c r="AE70" i="13"/>
  <c r="AE71" i="13"/>
  <c r="AF71" i="13" s="1"/>
  <c r="AH71" i="13" s="1"/>
  <c r="AI71" i="13" s="1"/>
  <c r="AE72" i="13"/>
  <c r="AF72" i="13" s="1"/>
  <c r="AH72" i="13" s="1"/>
  <c r="AI72" i="13" s="1"/>
  <c r="AE73" i="13"/>
  <c r="AF73" i="13" s="1"/>
  <c r="AH73" i="13" s="1"/>
  <c r="AI73" i="13" s="1"/>
  <c r="AE75" i="13"/>
  <c r="AF75" i="13" s="1"/>
  <c r="AH75" i="13" s="1"/>
  <c r="AI75" i="13" s="1"/>
  <c r="AE76" i="13"/>
  <c r="AF76" i="13" s="1"/>
  <c r="AH76" i="13" s="1"/>
  <c r="AI76" i="13" s="1"/>
  <c r="AH77" i="13"/>
  <c r="AI77" i="13" s="1"/>
  <c r="AH78" i="13"/>
  <c r="AI78" i="13" s="1"/>
  <c r="AE80" i="13"/>
  <c r="AE81" i="13"/>
  <c r="AH81" i="13" s="1"/>
  <c r="AI81" i="13" s="1"/>
  <c r="AE88" i="13"/>
  <c r="AF88" i="13" s="1"/>
  <c r="AH88" i="13" s="1"/>
  <c r="AI88" i="13" s="1"/>
  <c r="AE89" i="13"/>
  <c r="AF89" i="13" s="1"/>
  <c r="AH89" i="13" s="1"/>
  <c r="AI89" i="13" s="1"/>
  <c r="AE90" i="13"/>
  <c r="AE91" i="13"/>
  <c r="AE92" i="13"/>
  <c r="AE93" i="13"/>
  <c r="AE94" i="13"/>
  <c r="AH95" i="13"/>
  <c r="AI95" i="13" s="1"/>
  <c r="AH96" i="13"/>
  <c r="AI96" i="13" s="1"/>
  <c r="AH97" i="13"/>
  <c r="AI97" i="13" s="1"/>
  <c r="AE98" i="13"/>
  <c r="AF98" i="13" s="1"/>
  <c r="AH98" i="13" s="1"/>
  <c r="AI98" i="13" s="1"/>
  <c r="F21" i="11"/>
  <c r="J167" i="13"/>
  <c r="J168" i="13" s="1"/>
  <c r="AH65" i="13" l="1"/>
  <c r="AI65" i="13" s="1"/>
  <c r="AB103" i="19"/>
  <c r="AC96" i="19"/>
  <c r="Z70" i="19"/>
  <c r="Y54" i="19"/>
  <c r="X47" i="19"/>
  <c r="X43" i="19"/>
  <c r="X37" i="19"/>
  <c r="X36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AC30" i="19"/>
  <c r="AC31" i="19"/>
  <c r="AC29" i="19"/>
  <c r="AC67" i="19"/>
  <c r="AC90" i="19"/>
  <c r="AC89" i="19"/>
  <c r="AA79" i="19"/>
  <c r="Z75" i="19"/>
  <c r="Z74" i="19"/>
  <c r="Z73" i="19"/>
  <c r="C13" i="19" l="1"/>
  <c r="U13" i="19" s="1"/>
  <c r="C15" i="19"/>
  <c r="U15" i="19" s="1"/>
  <c r="C16" i="19"/>
  <c r="V16" i="19" s="1"/>
  <c r="C17" i="19"/>
  <c r="V17" i="19" s="1"/>
  <c r="C19" i="19"/>
  <c r="U19" i="19" s="1"/>
  <c r="C21" i="19"/>
  <c r="U21" i="19" s="1"/>
  <c r="C22" i="19"/>
  <c r="U22" i="19" s="1"/>
  <c r="C23" i="19"/>
  <c r="U23" i="19" s="1"/>
  <c r="C24" i="19"/>
  <c r="V24" i="19" s="1"/>
  <c r="C25" i="19"/>
  <c r="V25" i="19" s="1"/>
  <c r="C27" i="19"/>
  <c r="C29" i="19"/>
  <c r="C30" i="19"/>
  <c r="U30" i="19" s="1"/>
  <c r="C31" i="19"/>
  <c r="V31" i="19" s="1"/>
  <c r="C32" i="19"/>
  <c r="V32" i="19" s="1"/>
  <c r="C33" i="19"/>
  <c r="V33" i="19" s="1"/>
  <c r="C35" i="19"/>
  <c r="C37" i="19"/>
  <c r="U37" i="19" s="1"/>
  <c r="C38" i="19"/>
  <c r="C39" i="19"/>
  <c r="C40" i="19"/>
  <c r="U40" i="19" s="1"/>
  <c r="C41" i="19"/>
  <c r="V41" i="19" s="1"/>
  <c r="C42" i="19"/>
  <c r="C43" i="19"/>
  <c r="U43" i="19" s="1"/>
  <c r="C44" i="19"/>
  <c r="U44" i="19" s="1"/>
  <c r="C45" i="19"/>
  <c r="C46" i="19"/>
  <c r="C47" i="19"/>
  <c r="U47" i="19" s="1"/>
  <c r="C48" i="19"/>
  <c r="V48" i="19" s="1"/>
  <c r="C49" i="19"/>
  <c r="V49" i="19" s="1"/>
  <c r="C50" i="19"/>
  <c r="U50" i="19" s="1"/>
  <c r="C51" i="19"/>
  <c r="U51" i="19" s="1"/>
  <c r="C52" i="19"/>
  <c r="U52" i="19" s="1"/>
  <c r="C53" i="19"/>
  <c r="U53" i="19" s="1"/>
  <c r="C54" i="19"/>
  <c r="U54" i="19" s="1"/>
  <c r="C55" i="19"/>
  <c r="C56" i="19"/>
  <c r="V56" i="19" s="1"/>
  <c r="C57" i="19"/>
  <c r="V57" i="19" s="1"/>
  <c r="C58" i="19"/>
  <c r="C59" i="19"/>
  <c r="U59" i="19" s="1"/>
  <c r="C60" i="19"/>
  <c r="U60" i="19" s="1"/>
  <c r="C61" i="19"/>
  <c r="U61" i="19" s="1"/>
  <c r="C62" i="19"/>
  <c r="U62" i="19" s="1"/>
  <c r="C63" i="19"/>
  <c r="V63" i="19" s="1"/>
  <c r="C64" i="19"/>
  <c r="V64" i="19" s="1"/>
  <c r="C65" i="19"/>
  <c r="V65" i="19" s="1"/>
  <c r="C66" i="19"/>
  <c r="C67" i="19"/>
  <c r="U67" i="19" s="1"/>
  <c r="C68" i="19"/>
  <c r="U68" i="19" s="1"/>
  <c r="C69" i="19"/>
  <c r="U69" i="19" s="1"/>
  <c r="C70" i="19"/>
  <c r="U70" i="19" s="1"/>
  <c r="C71" i="19"/>
  <c r="U71" i="19" s="1"/>
  <c r="C72" i="19"/>
  <c r="U72" i="19" s="1"/>
  <c r="C73" i="19"/>
  <c r="V73" i="19" s="1"/>
  <c r="C74" i="19"/>
  <c r="C75" i="19"/>
  <c r="U75" i="19" s="1"/>
  <c r="C76" i="19"/>
  <c r="U76" i="19" s="1"/>
  <c r="C77" i="19"/>
  <c r="U77" i="19" s="1"/>
  <c r="C78" i="19"/>
  <c r="U78" i="19" s="1"/>
  <c r="C79" i="19"/>
  <c r="U79" i="19" s="1"/>
  <c r="C80" i="19"/>
  <c r="V80" i="19" s="1"/>
  <c r="C81" i="19"/>
  <c r="V81" i="19" s="1"/>
  <c r="C82" i="19"/>
  <c r="U82" i="19" s="1"/>
  <c r="C83" i="19"/>
  <c r="U83" i="19" s="1"/>
  <c r="C84" i="19"/>
  <c r="U84" i="19" s="1"/>
  <c r="C85" i="19"/>
  <c r="U85" i="19" s="1"/>
  <c r="C86" i="19"/>
  <c r="U86" i="19" s="1"/>
  <c r="C87" i="19"/>
  <c r="U87" i="19" s="1"/>
  <c r="C88" i="19"/>
  <c r="V88" i="19" s="1"/>
  <c r="C89" i="19"/>
  <c r="V89" i="19" s="1"/>
  <c r="C90" i="19"/>
  <c r="C91" i="19"/>
  <c r="C92" i="19"/>
  <c r="U92" i="19" s="1"/>
  <c r="C93" i="19"/>
  <c r="U93" i="19" s="1"/>
  <c r="C94" i="19"/>
  <c r="U94" i="19" s="1"/>
  <c r="C95" i="19"/>
  <c r="C96" i="19"/>
  <c r="C97" i="19"/>
  <c r="V97" i="19" s="1"/>
  <c r="C98" i="19"/>
  <c r="C99" i="19"/>
  <c r="U99" i="19" s="1"/>
  <c r="C100" i="19"/>
  <c r="U100" i="19" s="1"/>
  <c r="C101" i="19"/>
  <c r="U101" i="19" s="1"/>
  <c r="C102" i="19"/>
  <c r="U102" i="19" s="1"/>
  <c r="C103" i="19"/>
  <c r="U103" i="19" s="1"/>
  <c r="C104" i="19"/>
  <c r="C105" i="19"/>
  <c r="V105" i="19" s="1"/>
  <c r="C106" i="19"/>
  <c r="C107" i="19"/>
  <c r="C108" i="19"/>
  <c r="C109" i="19"/>
  <c r="C110" i="19"/>
  <c r="C111" i="19"/>
  <c r="C112" i="19"/>
  <c r="A113" i="19"/>
  <c r="B113" i="19"/>
  <c r="C113" i="19"/>
  <c r="D113" i="19"/>
  <c r="E113" i="19"/>
  <c r="B114" i="19"/>
  <c r="C114" i="19"/>
  <c r="D114" i="19"/>
  <c r="E114" i="19"/>
  <c r="A115" i="19"/>
  <c r="B115" i="19"/>
  <c r="C115" i="19"/>
  <c r="D115" i="19"/>
  <c r="E115" i="19"/>
  <c r="A116" i="19"/>
  <c r="B116" i="19"/>
  <c r="C116" i="19"/>
  <c r="D116" i="19"/>
  <c r="A117" i="19"/>
  <c r="B117" i="19"/>
  <c r="C117" i="19"/>
  <c r="D117" i="19"/>
  <c r="E117" i="19"/>
  <c r="A118" i="19"/>
  <c r="B118" i="19"/>
  <c r="C118" i="19"/>
  <c r="D118" i="19"/>
  <c r="E118" i="19"/>
  <c r="A119" i="19"/>
  <c r="B119" i="19"/>
  <c r="C119" i="19"/>
  <c r="D119" i="19"/>
  <c r="E119" i="19"/>
  <c r="A120" i="19"/>
  <c r="B120" i="19"/>
  <c r="C120" i="19"/>
  <c r="D120" i="19"/>
  <c r="A121" i="19"/>
  <c r="B121" i="19"/>
  <c r="C121" i="19"/>
  <c r="D121" i="19"/>
  <c r="E121" i="19"/>
  <c r="A122" i="19"/>
  <c r="B122" i="19"/>
  <c r="D122" i="19"/>
  <c r="E122" i="19"/>
  <c r="A123" i="19"/>
  <c r="B123" i="19"/>
  <c r="C123" i="19"/>
  <c r="D123" i="19"/>
  <c r="E123" i="19"/>
  <c r="A124" i="19"/>
  <c r="B124" i="19"/>
  <c r="C124" i="19"/>
  <c r="D124" i="19"/>
  <c r="A125" i="19"/>
  <c r="B125" i="19"/>
  <c r="C125" i="19"/>
  <c r="D125" i="19"/>
  <c r="E125" i="19"/>
  <c r="A126" i="19"/>
  <c r="B126" i="19"/>
  <c r="C126" i="19"/>
  <c r="D126" i="19"/>
  <c r="E126" i="19"/>
  <c r="A127" i="19"/>
  <c r="C127" i="19"/>
  <c r="D127" i="19"/>
  <c r="E127" i="19"/>
  <c r="A128" i="19"/>
  <c r="B128" i="19"/>
  <c r="C128" i="19"/>
  <c r="D128" i="19"/>
  <c r="E128" i="19"/>
  <c r="A129" i="19"/>
  <c r="B129" i="19"/>
  <c r="C129" i="19"/>
  <c r="A130" i="19"/>
  <c r="B130" i="19"/>
  <c r="C130" i="19"/>
  <c r="D130" i="19"/>
  <c r="E130" i="19"/>
  <c r="A131" i="19"/>
  <c r="B131" i="19"/>
  <c r="C131" i="19"/>
  <c r="D131" i="19"/>
  <c r="E131" i="19"/>
  <c r="A132" i="19"/>
  <c r="B132" i="19"/>
  <c r="C132" i="19"/>
  <c r="D132" i="19"/>
  <c r="A133" i="19"/>
  <c r="B133" i="19"/>
  <c r="C133" i="19"/>
  <c r="D133" i="19"/>
  <c r="E133" i="19"/>
  <c r="A134" i="19"/>
  <c r="B134" i="19"/>
  <c r="C134" i="19"/>
  <c r="D134" i="19"/>
  <c r="E134" i="19"/>
  <c r="A135" i="19"/>
  <c r="B135" i="19"/>
  <c r="C135" i="19"/>
  <c r="D135" i="19"/>
  <c r="E135" i="19"/>
  <c r="A136" i="19"/>
  <c r="B136" i="19"/>
  <c r="C136" i="19"/>
  <c r="D136" i="19"/>
  <c r="E136" i="19"/>
  <c r="A137" i="19"/>
  <c r="B137" i="19"/>
  <c r="C137" i="19"/>
  <c r="D137" i="19"/>
  <c r="E137" i="19"/>
  <c r="A138" i="19"/>
  <c r="B138" i="19"/>
  <c r="C138" i="19"/>
  <c r="D138" i="19"/>
  <c r="E138" i="19"/>
  <c r="A139" i="19"/>
  <c r="B139" i="19"/>
  <c r="C139" i="19"/>
  <c r="D139" i="19"/>
  <c r="E139" i="19"/>
  <c r="A140" i="19"/>
  <c r="B140" i="19"/>
  <c r="C140" i="19"/>
  <c r="D140" i="19"/>
  <c r="A141" i="19"/>
  <c r="B141" i="19"/>
  <c r="C141" i="19"/>
  <c r="D141" i="19"/>
  <c r="E141" i="19"/>
  <c r="A142" i="19"/>
  <c r="B142" i="19"/>
  <c r="D142" i="19"/>
  <c r="E142" i="19"/>
  <c r="A143" i="19"/>
  <c r="B143" i="19"/>
  <c r="C143" i="19"/>
  <c r="D143" i="19"/>
  <c r="E143" i="19"/>
  <c r="A144" i="19"/>
  <c r="B144" i="19"/>
  <c r="C144" i="19"/>
  <c r="D144" i="19"/>
  <c r="E144" i="19"/>
  <c r="A145" i="19"/>
  <c r="B145" i="19"/>
  <c r="C145" i="19"/>
  <c r="D145" i="19"/>
  <c r="A146" i="19"/>
  <c r="B146" i="19"/>
  <c r="C146" i="19"/>
  <c r="D146" i="19"/>
  <c r="E146" i="19"/>
  <c r="A147" i="19"/>
  <c r="B147" i="19"/>
  <c r="C147" i="19"/>
  <c r="D147" i="19"/>
  <c r="E147" i="19"/>
  <c r="A148" i="19"/>
  <c r="B148" i="19"/>
  <c r="C148" i="19"/>
  <c r="D148" i="19"/>
  <c r="A149" i="19"/>
  <c r="B149" i="19"/>
  <c r="C149" i="19"/>
  <c r="D149" i="19"/>
  <c r="E149" i="19"/>
  <c r="A150" i="19"/>
  <c r="B150" i="19"/>
  <c r="C150" i="19"/>
  <c r="D150" i="19"/>
  <c r="E150" i="19"/>
  <c r="A151" i="19"/>
  <c r="B151" i="19"/>
  <c r="C151" i="19"/>
  <c r="D151" i="19"/>
  <c r="E151" i="19"/>
  <c r="A152" i="19"/>
  <c r="B152" i="19"/>
  <c r="C152" i="19"/>
  <c r="D152" i="19"/>
  <c r="E152" i="19"/>
  <c r="A153" i="19"/>
  <c r="B153" i="19"/>
  <c r="C153" i="19"/>
  <c r="D153" i="19"/>
  <c r="E153" i="19"/>
  <c r="A154" i="19"/>
  <c r="B154" i="19"/>
  <c r="C154" i="19"/>
  <c r="D154" i="19"/>
  <c r="E154" i="19"/>
  <c r="B155" i="19"/>
  <c r="C155" i="19"/>
  <c r="D155" i="19"/>
  <c r="A156" i="19"/>
  <c r="B156" i="19"/>
  <c r="C156" i="19"/>
  <c r="D156" i="19"/>
  <c r="A157" i="19"/>
  <c r="B157" i="19"/>
  <c r="C157" i="19"/>
  <c r="D157" i="19"/>
  <c r="A158" i="19"/>
  <c r="B158" i="19"/>
  <c r="C158" i="19"/>
  <c r="D158" i="19"/>
  <c r="A159" i="19"/>
  <c r="B159" i="19"/>
  <c r="C159" i="19"/>
  <c r="D159" i="19"/>
  <c r="E159" i="19"/>
  <c r="A160" i="19"/>
  <c r="B160" i="19"/>
  <c r="C160" i="19"/>
  <c r="D160" i="19"/>
  <c r="E160" i="19"/>
  <c r="A161" i="19"/>
  <c r="B161" i="19"/>
  <c r="C161" i="19"/>
  <c r="E161" i="19"/>
  <c r="A162" i="19"/>
  <c r="B162" i="19"/>
  <c r="C162" i="19"/>
  <c r="D162" i="19"/>
  <c r="E162" i="19"/>
  <c r="A163" i="19"/>
  <c r="B163" i="19"/>
  <c r="C163" i="19"/>
  <c r="D163" i="19"/>
  <c r="E163" i="19"/>
  <c r="A164" i="19"/>
  <c r="B164" i="19"/>
  <c r="C164" i="19"/>
  <c r="D164" i="19"/>
  <c r="E164" i="19"/>
  <c r="A165" i="19"/>
  <c r="B165" i="19"/>
  <c r="C165" i="19"/>
  <c r="D165" i="19"/>
  <c r="E165" i="19"/>
  <c r="A166" i="19"/>
  <c r="B166" i="19"/>
  <c r="C166" i="19"/>
  <c r="D166" i="19"/>
  <c r="E166" i="19"/>
  <c r="A167" i="19"/>
  <c r="B167" i="19"/>
  <c r="C167" i="19"/>
  <c r="D167" i="19"/>
  <c r="E167" i="19"/>
  <c r="A168" i="19"/>
  <c r="B168" i="19"/>
  <c r="C168" i="19"/>
  <c r="D168" i="19"/>
  <c r="A169" i="19"/>
  <c r="B169" i="19"/>
  <c r="C169" i="19"/>
  <c r="D169" i="19"/>
  <c r="E169" i="19"/>
  <c r="A170" i="19"/>
  <c r="B170" i="19"/>
  <c r="C170" i="19"/>
  <c r="D170" i="19"/>
  <c r="E170" i="19"/>
  <c r="A171" i="19"/>
  <c r="B171" i="19"/>
  <c r="C171" i="19"/>
  <c r="D171" i="19"/>
  <c r="A172" i="19"/>
  <c r="B172" i="19"/>
  <c r="C172" i="19"/>
  <c r="D172" i="19"/>
  <c r="E172" i="19"/>
  <c r="A173" i="19"/>
  <c r="B173" i="19"/>
  <c r="C173" i="19"/>
  <c r="D173" i="19"/>
  <c r="A174" i="19"/>
  <c r="B174" i="19"/>
  <c r="C174" i="19"/>
  <c r="D174" i="19"/>
  <c r="E174" i="19"/>
  <c r="A175" i="19"/>
  <c r="B175" i="19"/>
  <c r="C175" i="19"/>
  <c r="D175" i="19"/>
  <c r="E175" i="19"/>
  <c r="A176" i="19"/>
  <c r="B176" i="19"/>
  <c r="C176" i="19"/>
  <c r="D176" i="19"/>
  <c r="A177" i="19"/>
  <c r="B177" i="19"/>
  <c r="C177" i="19"/>
  <c r="D177" i="19"/>
  <c r="E177" i="19"/>
  <c r="A178" i="19"/>
  <c r="B178" i="19"/>
  <c r="C178" i="19"/>
  <c r="D178" i="19"/>
  <c r="E178" i="19"/>
  <c r="A179" i="19"/>
  <c r="B179" i="19"/>
  <c r="C179" i="19"/>
  <c r="D179" i="19"/>
  <c r="E179" i="19"/>
  <c r="A180" i="19"/>
  <c r="B180" i="19"/>
  <c r="C180" i="19"/>
  <c r="D180" i="19"/>
  <c r="E180" i="19"/>
  <c r="A181" i="19"/>
  <c r="B181" i="19"/>
  <c r="C181" i="19"/>
  <c r="D181" i="19"/>
  <c r="A182" i="19"/>
  <c r="B182" i="19"/>
  <c r="C182" i="19"/>
  <c r="D182" i="19"/>
  <c r="E182" i="19"/>
  <c r="A183" i="19"/>
  <c r="B183" i="19"/>
  <c r="C183" i="19"/>
  <c r="D183" i="19"/>
  <c r="E183" i="19"/>
  <c r="A184" i="19"/>
  <c r="B184" i="19"/>
  <c r="C184" i="19"/>
  <c r="D184" i="19"/>
  <c r="A185" i="19"/>
  <c r="B185" i="19"/>
  <c r="C185" i="19"/>
  <c r="D185" i="19"/>
  <c r="E185" i="19"/>
  <c r="A186" i="19"/>
  <c r="B186" i="19"/>
  <c r="C186" i="19"/>
  <c r="D186" i="19"/>
  <c r="E186" i="19"/>
  <c r="A187" i="19"/>
  <c r="B187" i="19"/>
  <c r="C187" i="19"/>
  <c r="D187" i="19"/>
  <c r="E187" i="19"/>
  <c r="A188" i="19"/>
  <c r="B188" i="19"/>
  <c r="C188" i="19"/>
  <c r="D188" i="19"/>
  <c r="E188" i="19"/>
  <c r="A189" i="19"/>
  <c r="B189" i="19"/>
  <c r="C189" i="19"/>
  <c r="D189" i="19"/>
  <c r="E189" i="19"/>
  <c r="A190" i="19"/>
  <c r="B190" i="19"/>
  <c r="C190" i="19"/>
  <c r="D190" i="19"/>
  <c r="E190" i="19"/>
  <c r="C18" i="19"/>
  <c r="U18" i="19" s="1"/>
  <c r="C26" i="19"/>
  <c r="C34" i="19"/>
  <c r="C122" i="19"/>
  <c r="Y55" i="19"/>
  <c r="Y58" i="19"/>
  <c r="Y57" i="19"/>
  <c r="Y59" i="19" s="1"/>
  <c r="Y56" i="19"/>
  <c r="Y53" i="19"/>
  <c r="E171" i="19"/>
  <c r="B127" i="19"/>
  <c r="A155" i="19"/>
  <c r="E120" i="19"/>
  <c r="E124" i="19"/>
  <c r="D129" i="19"/>
  <c r="E129" i="19"/>
  <c r="E132" i="19"/>
  <c r="E140" i="19"/>
  <c r="C142" i="19"/>
  <c r="E145" i="19"/>
  <c r="E148" i="19"/>
  <c r="D161" i="19"/>
  <c r="E168" i="19"/>
  <c r="E173" i="19"/>
  <c r="E176" i="19"/>
  <c r="E181" i="19"/>
  <c r="E184" i="19"/>
  <c r="E116" i="19"/>
  <c r="C12" i="19"/>
  <c r="U12" i="19" s="1"/>
  <c r="C28" i="19"/>
  <c r="C36" i="19"/>
  <c r="A114" i="19"/>
  <c r="X41" i="19"/>
  <c r="X38" i="19"/>
  <c r="C20" i="19"/>
  <c r="U20" i="19" s="1"/>
  <c r="X51" i="19"/>
  <c r="X48" i="19"/>
  <c r="X45" i="19" s="1"/>
  <c r="C14" i="19"/>
  <c r="U14" i="19" s="1"/>
  <c r="E158" i="19" l="1"/>
  <c r="E157" i="19"/>
  <c r="E156" i="19"/>
  <c r="E155" i="19"/>
  <c r="X39" i="19"/>
  <c r="X49" i="19"/>
  <c r="X44" i="19"/>
  <c r="V113" i="19"/>
  <c r="U55" i="19"/>
  <c r="V55" i="19"/>
  <c r="U56" i="19"/>
  <c r="V39" i="19"/>
  <c r="U16" i="19"/>
  <c r="V23" i="19"/>
  <c r="U96" i="19"/>
  <c r="V15" i="19"/>
  <c r="U88" i="19"/>
  <c r="V87" i="19"/>
  <c r="U80" i="19"/>
  <c r="V79" i="19"/>
  <c r="U64" i="19"/>
  <c r="V71" i="19"/>
  <c r="U90" i="19"/>
  <c r="V90" i="19"/>
  <c r="U66" i="19"/>
  <c r="V66" i="19"/>
  <c r="U42" i="19"/>
  <c r="V42" i="19"/>
  <c r="U26" i="19"/>
  <c r="U74" i="19"/>
  <c r="V74" i="19"/>
  <c r="U58" i="19"/>
  <c r="V58" i="19"/>
  <c r="U34" i="19"/>
  <c r="V34" i="19"/>
  <c r="U98" i="19"/>
  <c r="U91" i="19"/>
  <c r="V91" i="19"/>
  <c r="U113" i="19"/>
  <c r="U97" i="19"/>
  <c r="U89" i="19"/>
  <c r="U81" i="19"/>
  <c r="U73" i="19"/>
  <c r="U65" i="19"/>
  <c r="U57" i="19"/>
  <c r="U41" i="19"/>
  <c r="U33" i="19"/>
  <c r="U17" i="19"/>
  <c r="V72" i="19"/>
  <c r="V40" i="19"/>
  <c r="U95" i="19"/>
  <c r="U63" i="19"/>
  <c r="V110" i="19"/>
  <c r="V102" i="19"/>
  <c r="V94" i="19"/>
  <c r="V86" i="19"/>
  <c r="V78" i="19"/>
  <c r="V70" i="19"/>
  <c r="V62" i="19"/>
  <c r="V54" i="19"/>
  <c r="V46" i="19"/>
  <c r="V38" i="19"/>
  <c r="V22" i="19"/>
  <c r="V14" i="19"/>
  <c r="V101" i="19"/>
  <c r="V93" i="19"/>
  <c r="V85" i="19"/>
  <c r="V77" i="19"/>
  <c r="V69" i="19"/>
  <c r="V61" i="19"/>
  <c r="V53" i="19"/>
  <c r="V45" i="19"/>
  <c r="V29" i="19"/>
  <c r="V21" i="19"/>
  <c r="V13" i="19"/>
  <c r="V92" i="19"/>
  <c r="V84" i="19"/>
  <c r="V76" i="19"/>
  <c r="V68" i="19"/>
  <c r="V60" i="19"/>
  <c r="V52" i="19"/>
  <c r="V44" i="19"/>
  <c r="V36" i="19"/>
  <c r="V28" i="19"/>
  <c r="V20" i="19"/>
  <c r="V12" i="19"/>
  <c r="V83" i="19"/>
  <c r="V75" i="19"/>
  <c r="V67" i="19"/>
  <c r="V59" i="19"/>
  <c r="V51" i="19"/>
  <c r="V43" i="19"/>
  <c r="V35" i="19"/>
  <c r="V27" i="19"/>
  <c r="V19" i="19"/>
  <c r="V82" i="19"/>
  <c r="V50" i="19"/>
  <c r="V18" i="19"/>
  <c r="S83" i="19"/>
  <c r="S107" i="19"/>
  <c r="S108" i="19"/>
  <c r="S100" i="19"/>
  <c r="S84" i="19"/>
  <c r="S76" i="19"/>
  <c r="S101" i="19"/>
  <c r="S77" i="19"/>
  <c r="S78" i="19"/>
  <c r="S106" i="19"/>
  <c r="S82" i="19"/>
  <c r="S81" i="19"/>
  <c r="S79" i="19"/>
  <c r="S80" i="19"/>
  <c r="I101" i="19" l="1"/>
  <c r="T12" i="19"/>
  <c r="T13" i="19"/>
  <c r="T14" i="19"/>
  <c r="T15" i="19"/>
  <c r="T16" i="19"/>
  <c r="T17" i="19"/>
  <c r="T18" i="19"/>
  <c r="T19" i="19"/>
  <c r="T20" i="19"/>
  <c r="T21" i="19"/>
  <c r="T26" i="19"/>
  <c r="T27" i="19"/>
  <c r="T28" i="19"/>
  <c r="T29" i="19"/>
  <c r="T30" i="19"/>
  <c r="T40" i="19"/>
  <c r="T41" i="19"/>
  <c r="T42" i="19"/>
  <c r="T47" i="19"/>
  <c r="T48" i="19"/>
  <c r="T49" i="19"/>
  <c r="T50" i="19"/>
  <c r="T51" i="19"/>
  <c r="T52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I76" i="19" s="1"/>
  <c r="T77" i="19"/>
  <c r="I77" i="19" s="1"/>
  <c r="T78" i="19"/>
  <c r="I78" i="19" s="1"/>
  <c r="T79" i="19"/>
  <c r="I79" i="19" s="1"/>
  <c r="T80" i="19"/>
  <c r="I80" i="19" s="1"/>
  <c r="T82" i="19"/>
  <c r="I82" i="19" s="1"/>
  <c r="T83" i="19"/>
  <c r="I83" i="19" s="1"/>
  <c r="T84" i="19"/>
  <c r="I84" i="19" s="1"/>
  <c r="T85" i="19"/>
  <c r="E21" i="11"/>
  <c r="E21" i="19" l="1"/>
  <c r="E27" i="19"/>
  <c r="E39" i="19"/>
  <c r="E42" i="19"/>
  <c r="E45" i="19"/>
  <c r="E46" i="19"/>
  <c r="E53" i="19"/>
  <c r="E54" i="19"/>
  <c r="E58" i="19"/>
  <c r="E66" i="19"/>
  <c r="E69" i="19"/>
  <c r="E77" i="19"/>
  <c r="E78" i="19"/>
  <c r="E79" i="19"/>
  <c r="E82" i="19"/>
  <c r="E85" i="19"/>
  <c r="A86" i="19"/>
  <c r="B86" i="19"/>
  <c r="E86" i="19"/>
  <c r="A87" i="19"/>
  <c r="B87" i="19"/>
  <c r="E87" i="19"/>
  <c r="A88" i="19"/>
  <c r="B88" i="19"/>
  <c r="E88" i="19"/>
  <c r="A89" i="19"/>
  <c r="B89" i="19"/>
  <c r="B90" i="19"/>
  <c r="A91" i="19"/>
  <c r="B91" i="19"/>
  <c r="E91" i="19"/>
  <c r="A92" i="19"/>
  <c r="A93" i="19"/>
  <c r="B93" i="19"/>
  <c r="A94" i="19"/>
  <c r="B94" i="19"/>
  <c r="E94" i="19"/>
  <c r="A95" i="19"/>
  <c r="B95" i="19"/>
  <c r="E95" i="19"/>
  <c r="A96" i="19"/>
  <c r="B96" i="19"/>
  <c r="A97" i="19"/>
  <c r="B97" i="19"/>
  <c r="A98" i="19"/>
  <c r="B98" i="19"/>
  <c r="V98" i="19" s="1"/>
  <c r="A99" i="19"/>
  <c r="A100" i="19"/>
  <c r="B100" i="19"/>
  <c r="V100" i="19" s="1"/>
  <c r="I100" i="19" s="1"/>
  <c r="A101" i="19"/>
  <c r="B101" i="19"/>
  <c r="E101" i="19"/>
  <c r="A102" i="19"/>
  <c r="B102" i="19"/>
  <c r="S102" i="19" s="1"/>
  <c r="I102" i="19" s="1"/>
  <c r="E102" i="19"/>
  <c r="A103" i="19"/>
  <c r="B103" i="19"/>
  <c r="E103" i="19"/>
  <c r="A104" i="19"/>
  <c r="E104" i="19"/>
  <c r="A105" i="19"/>
  <c r="B105" i="19"/>
  <c r="E105" i="19"/>
  <c r="B106" i="19"/>
  <c r="E106" i="19"/>
  <c r="A107" i="19"/>
  <c r="B107" i="19"/>
  <c r="E107" i="19"/>
  <c r="A108" i="19"/>
  <c r="B108" i="19"/>
  <c r="E108" i="19"/>
  <c r="A109" i="19"/>
  <c r="B109" i="19"/>
  <c r="S109" i="19" s="1"/>
  <c r="E109" i="19"/>
  <c r="A110" i="19"/>
  <c r="B110" i="19"/>
  <c r="E110" i="19"/>
  <c r="A111" i="19"/>
  <c r="E111" i="19"/>
  <c r="A112" i="19"/>
  <c r="B112" i="19"/>
  <c r="E112" i="19"/>
  <c r="S113" i="19"/>
  <c r="I113" i="19" s="1"/>
  <c r="A90" i="19"/>
  <c r="A106" i="19"/>
  <c r="E18" i="19"/>
  <c r="E34" i="19"/>
  <c r="E11" i="19"/>
  <c r="E12" i="19"/>
  <c r="E13" i="19"/>
  <c r="E14" i="19"/>
  <c r="E16" i="19"/>
  <c r="E17" i="19"/>
  <c r="E19" i="19"/>
  <c r="E20" i="19"/>
  <c r="E22" i="19"/>
  <c r="E23" i="19"/>
  <c r="E24" i="19"/>
  <c r="E25" i="19"/>
  <c r="E26" i="19"/>
  <c r="B92" i="19"/>
  <c r="B99" i="19"/>
  <c r="B104" i="19"/>
  <c r="S104" i="19" s="1"/>
  <c r="B111" i="19"/>
  <c r="E28" i="19"/>
  <c r="E29" i="19"/>
  <c r="E31" i="19"/>
  <c r="E32" i="19"/>
  <c r="E33" i="19"/>
  <c r="E35" i="19"/>
  <c r="E36" i="19"/>
  <c r="E37" i="19"/>
  <c r="E38" i="19"/>
  <c r="E40" i="19"/>
  <c r="E41" i="19"/>
  <c r="E43" i="19"/>
  <c r="E44" i="19"/>
  <c r="E48" i="19"/>
  <c r="E49" i="19"/>
  <c r="E50" i="19"/>
  <c r="E51" i="19"/>
  <c r="E52" i="19"/>
  <c r="E56" i="19"/>
  <c r="E57" i="19"/>
  <c r="E59" i="19"/>
  <c r="E60" i="19"/>
  <c r="E61" i="19"/>
  <c r="E64" i="19"/>
  <c r="E65" i="19"/>
  <c r="E67" i="19"/>
  <c r="E68" i="19"/>
  <c r="E72" i="19"/>
  <c r="E73" i="19"/>
  <c r="E74" i="19"/>
  <c r="E75" i="19"/>
  <c r="E76" i="19"/>
  <c r="E80" i="19"/>
  <c r="E81" i="19"/>
  <c r="E83" i="19"/>
  <c r="E84" i="19"/>
  <c r="E89" i="19"/>
  <c r="E90" i="19"/>
  <c r="E92" i="19"/>
  <c r="E93" i="19"/>
  <c r="E96" i="19"/>
  <c r="E97" i="19"/>
  <c r="E98" i="19"/>
  <c r="E99" i="19"/>
  <c r="E100" i="19"/>
  <c r="U105" i="19" l="1"/>
  <c r="S105" i="19"/>
  <c r="U110" i="19"/>
  <c r="S110" i="19"/>
  <c r="V103" i="19"/>
  <c r="S103" i="19"/>
  <c r="V99" i="19"/>
  <c r="V112" i="19"/>
  <c r="U112" i="19"/>
  <c r="V111" i="19"/>
  <c r="U111" i="19"/>
  <c r="U107" i="19"/>
  <c r="V107" i="19"/>
  <c r="U106" i="19"/>
  <c r="V106" i="19"/>
  <c r="V96" i="19"/>
  <c r="V109" i="19"/>
  <c r="U109" i="19"/>
  <c r="U104" i="19"/>
  <c r="V104" i="19"/>
  <c r="V108" i="19"/>
  <c r="U108" i="19"/>
  <c r="V95" i="19"/>
  <c r="S95" i="19"/>
  <c r="E71" i="19"/>
  <c r="E63" i="19"/>
  <c r="E55" i="19"/>
  <c r="E47" i="19"/>
  <c r="E30" i="19"/>
  <c r="E70" i="19"/>
  <c r="E62" i="19"/>
  <c r="E15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21" i="11"/>
  <c r="D11" i="19" s="1"/>
  <c r="S31" i="19"/>
  <c r="S32" i="19"/>
  <c r="S33" i="19"/>
  <c r="S34" i="19"/>
  <c r="S35" i="19"/>
  <c r="S36" i="19"/>
  <c r="S37" i="19"/>
  <c r="S38" i="19"/>
  <c r="S39" i="19"/>
  <c r="S40" i="19"/>
  <c r="I40" i="19" s="1"/>
  <c r="S41" i="19"/>
  <c r="I41" i="19" s="1"/>
  <c r="S42" i="19"/>
  <c r="I42" i="19" s="1"/>
  <c r="S43" i="19"/>
  <c r="S44" i="19"/>
  <c r="S45" i="19"/>
  <c r="S46" i="19"/>
  <c r="S47" i="19"/>
  <c r="S48" i="19"/>
  <c r="S49" i="19"/>
  <c r="S50" i="19"/>
  <c r="I50" i="19" s="1"/>
  <c r="S51" i="19"/>
  <c r="I51" i="19" s="1"/>
  <c r="S52" i="19"/>
  <c r="I52" i="19" s="1"/>
  <c r="S53" i="19"/>
  <c r="S54" i="19"/>
  <c r="S55" i="19"/>
  <c r="S56" i="19"/>
  <c r="S57" i="19"/>
  <c r="I57" i="19" s="1"/>
  <c r="S58" i="19"/>
  <c r="I58" i="19" s="1"/>
  <c r="S59" i="19"/>
  <c r="I59" i="19" s="1"/>
  <c r="S60" i="19"/>
  <c r="I60" i="19" s="1"/>
  <c r="S61" i="19"/>
  <c r="I61" i="19" s="1"/>
  <c r="S62" i="19"/>
  <c r="I62" i="19" s="1"/>
  <c r="S63" i="19"/>
  <c r="I63" i="19" s="1"/>
  <c r="S64" i="19"/>
  <c r="I64" i="19" s="1"/>
  <c r="S65" i="19"/>
  <c r="I65" i="19" s="1"/>
  <c r="S66" i="19"/>
  <c r="I66" i="19" s="1"/>
  <c r="S67" i="19"/>
  <c r="I67" i="19" s="1"/>
  <c r="S68" i="19"/>
  <c r="I68" i="19" s="1"/>
  <c r="S69" i="19"/>
  <c r="I69" i="19" s="1"/>
  <c r="S70" i="19"/>
  <c r="I70" i="19" s="1"/>
  <c r="S71" i="19"/>
  <c r="I71" i="19" s="1"/>
  <c r="S72" i="19"/>
  <c r="I72" i="19" s="1"/>
  <c r="S73" i="19"/>
  <c r="I73" i="19" s="1"/>
  <c r="S74" i="19"/>
  <c r="I74" i="19" s="1"/>
  <c r="S75" i="19"/>
  <c r="I75" i="19" s="1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A37" i="19"/>
  <c r="B37" i="19"/>
  <c r="A38" i="19"/>
  <c r="B38" i="19"/>
  <c r="A39" i="19"/>
  <c r="B39" i="19"/>
  <c r="A40" i="19"/>
  <c r="B40" i="19"/>
  <c r="A41" i="19"/>
  <c r="B41" i="19"/>
  <c r="A42" i="19"/>
  <c r="B42" i="19"/>
  <c r="A43" i="19"/>
  <c r="B43" i="19"/>
  <c r="T43" i="19" s="1"/>
  <c r="A44" i="19"/>
  <c r="B44" i="19"/>
  <c r="T44" i="19" s="1"/>
  <c r="A45" i="19"/>
  <c r="B45" i="19"/>
  <c r="A46" i="19"/>
  <c r="B46" i="19"/>
  <c r="A47" i="19"/>
  <c r="B47" i="19"/>
  <c r="V47" i="19" s="1"/>
  <c r="A48" i="19"/>
  <c r="B48" i="19"/>
  <c r="U48" i="19" s="1"/>
  <c r="A49" i="19"/>
  <c r="B49" i="19"/>
  <c r="U49" i="19" s="1"/>
  <c r="A50" i="19"/>
  <c r="B50" i="19"/>
  <c r="A51" i="19"/>
  <c r="B51" i="19"/>
  <c r="A52" i="19"/>
  <c r="B52" i="19"/>
  <c r="A53" i="19"/>
  <c r="B53" i="19"/>
  <c r="T53" i="19" s="1"/>
  <c r="A54" i="19"/>
  <c r="B54" i="19"/>
  <c r="T54" i="19" s="1"/>
  <c r="A55" i="19"/>
  <c r="B55" i="19"/>
  <c r="T55" i="19" s="1"/>
  <c r="A56" i="19"/>
  <c r="B56" i="19"/>
  <c r="T56" i="19" s="1"/>
  <c r="A57" i="19"/>
  <c r="B57" i="19"/>
  <c r="A58" i="19"/>
  <c r="B58" i="19"/>
  <c r="A59" i="19"/>
  <c r="B59" i="19"/>
  <c r="A60" i="19"/>
  <c r="B60" i="19"/>
  <c r="A61" i="19"/>
  <c r="B61" i="19"/>
  <c r="A62" i="19"/>
  <c r="B62" i="19"/>
  <c r="A63" i="19"/>
  <c r="B63" i="19"/>
  <c r="A64" i="19"/>
  <c r="B64" i="19"/>
  <c r="A65" i="19"/>
  <c r="B65" i="19"/>
  <c r="A66" i="19"/>
  <c r="B66" i="19"/>
  <c r="A67" i="19"/>
  <c r="B67" i="19"/>
  <c r="A68" i="19"/>
  <c r="B68" i="19"/>
  <c r="A69" i="19"/>
  <c r="B69" i="19"/>
  <c r="A70" i="19"/>
  <c r="B70" i="19"/>
  <c r="A71" i="19"/>
  <c r="B71" i="19"/>
  <c r="A72" i="19"/>
  <c r="B72" i="19"/>
  <c r="A73" i="19"/>
  <c r="B73" i="19"/>
  <c r="A74" i="19"/>
  <c r="B74" i="19"/>
  <c r="A75" i="19"/>
  <c r="B75" i="19"/>
  <c r="A76" i="19"/>
  <c r="B76" i="19"/>
  <c r="A77" i="19"/>
  <c r="B77" i="19"/>
  <c r="A78" i="19"/>
  <c r="B78" i="19"/>
  <c r="A79" i="19"/>
  <c r="B79" i="19"/>
  <c r="A80" i="19"/>
  <c r="B80" i="19"/>
  <c r="A81" i="19"/>
  <c r="B81" i="19"/>
  <c r="A82" i="19"/>
  <c r="B82" i="19"/>
  <c r="A83" i="19"/>
  <c r="B83" i="19"/>
  <c r="A84" i="19"/>
  <c r="B84" i="19"/>
  <c r="A85" i="19"/>
  <c r="B85" i="19"/>
  <c r="A16" i="19"/>
  <c r="B16" i="19"/>
  <c r="A17" i="19"/>
  <c r="B17" i="19"/>
  <c r="A18" i="19"/>
  <c r="B18" i="19"/>
  <c r="A19" i="19"/>
  <c r="B19" i="19"/>
  <c r="A20" i="19"/>
  <c r="B20" i="19"/>
  <c r="A21" i="19"/>
  <c r="B21" i="19"/>
  <c r="A22" i="19"/>
  <c r="B22" i="19"/>
  <c r="A23" i="19"/>
  <c r="B23" i="19"/>
  <c r="A24" i="19"/>
  <c r="B24" i="19"/>
  <c r="U24" i="19" s="1"/>
  <c r="A25" i="19"/>
  <c r="B25" i="19"/>
  <c r="U25" i="19" s="1"/>
  <c r="A26" i="19"/>
  <c r="B26" i="19"/>
  <c r="V26" i="19" s="1"/>
  <c r="A27" i="19"/>
  <c r="B27" i="19"/>
  <c r="U27" i="19" s="1"/>
  <c r="A28" i="19"/>
  <c r="B28" i="19"/>
  <c r="U28" i="19" s="1"/>
  <c r="A29" i="19"/>
  <c r="B29" i="19"/>
  <c r="U29" i="19" s="1"/>
  <c r="A30" i="19"/>
  <c r="B30" i="19"/>
  <c r="V30" i="19" s="1"/>
  <c r="A31" i="19"/>
  <c r="B31" i="19"/>
  <c r="U31" i="19" s="1"/>
  <c r="A32" i="19"/>
  <c r="B32" i="19"/>
  <c r="U32" i="19" s="1"/>
  <c r="A33" i="19"/>
  <c r="B33" i="19"/>
  <c r="A34" i="19"/>
  <c r="B34" i="19"/>
  <c r="A35" i="19"/>
  <c r="B35" i="19"/>
  <c r="U35" i="19" s="1"/>
  <c r="A36" i="19"/>
  <c r="B36" i="19"/>
  <c r="A12" i="19"/>
  <c r="B12" i="19"/>
  <c r="A13" i="19"/>
  <c r="B13" i="19"/>
  <c r="A14" i="19"/>
  <c r="B14" i="19"/>
  <c r="A15" i="19"/>
  <c r="B15" i="19"/>
  <c r="J9" i="11"/>
  <c r="N2" i="19"/>
  <c r="S94" i="19" s="1"/>
  <c r="I94" i="19" s="1"/>
  <c r="I48" i="19" l="1"/>
  <c r="T45" i="19"/>
  <c r="U45" i="19"/>
  <c r="I56" i="19"/>
  <c r="I55" i="19"/>
  <c r="I47" i="19"/>
  <c r="I54" i="19"/>
  <c r="I53" i="19"/>
  <c r="T46" i="19"/>
  <c r="U46" i="19"/>
  <c r="I46" i="19" s="1"/>
  <c r="I49" i="19"/>
  <c r="T37" i="19"/>
  <c r="V37" i="19"/>
  <c r="T39" i="19"/>
  <c r="U39" i="19"/>
  <c r="I44" i="19"/>
  <c r="I110" i="19"/>
  <c r="I43" i="19"/>
  <c r="T36" i="19"/>
  <c r="U36" i="19"/>
  <c r="T38" i="19"/>
  <c r="U38" i="19"/>
  <c r="I38" i="19" s="1"/>
  <c r="I105" i="19"/>
  <c r="I106" i="19"/>
  <c r="I30" i="19"/>
  <c r="I29" i="19"/>
  <c r="I103" i="19"/>
  <c r="I109" i="19"/>
  <c r="I28" i="19"/>
  <c r="I27" i="19"/>
  <c r="I108" i="19"/>
  <c r="I26" i="19"/>
  <c r="I107" i="19"/>
  <c r="I95" i="19"/>
  <c r="I104" i="19"/>
  <c r="T35" i="19"/>
  <c r="I35" i="19" s="1"/>
  <c r="S99" i="19"/>
  <c r="I99" i="19" s="1"/>
  <c r="S112" i="19"/>
  <c r="I112" i="19" s="1"/>
  <c r="S98" i="19"/>
  <c r="I98" i="19" s="1"/>
  <c r="S96" i="19"/>
  <c r="I96" i="19" s="1"/>
  <c r="S97" i="19"/>
  <c r="I97" i="19" s="1"/>
  <c r="S89" i="19"/>
  <c r="I89" i="19" s="1"/>
  <c r="S90" i="19"/>
  <c r="I90" i="19" s="1"/>
  <c r="S91" i="19"/>
  <c r="I91" i="19" s="1"/>
  <c r="S85" i="19"/>
  <c r="I85" i="19" s="1"/>
  <c r="S88" i="19"/>
  <c r="I88" i="19" s="1"/>
  <c r="S111" i="19"/>
  <c r="I111" i="19" s="1"/>
  <c r="T34" i="19"/>
  <c r="I34" i="19" s="1"/>
  <c r="S92" i="19"/>
  <c r="I92" i="19" s="1"/>
  <c r="S93" i="19"/>
  <c r="I93" i="19" s="1"/>
  <c r="S86" i="19"/>
  <c r="I86" i="19" s="1"/>
  <c r="T31" i="19"/>
  <c r="I31" i="19" s="1"/>
  <c r="T33" i="19"/>
  <c r="I33" i="19" s="1"/>
  <c r="T32" i="19"/>
  <c r="I32" i="19" s="1"/>
  <c r="S87" i="19"/>
  <c r="I87" i="19" s="1"/>
  <c r="T24" i="19"/>
  <c r="I24" i="19" s="1"/>
  <c r="T25" i="19"/>
  <c r="I25" i="19" s="1"/>
  <c r="T23" i="19"/>
  <c r="T81" i="19"/>
  <c r="I81" i="19" s="1"/>
  <c r="T22" i="19"/>
  <c r="A21" i="11"/>
  <c r="A11" i="19" s="1"/>
  <c r="B21" i="11"/>
  <c r="B11" i="19" s="1"/>
  <c r="I39" i="19" l="1"/>
  <c r="I36" i="19"/>
  <c r="I45" i="19"/>
  <c r="I37" i="19"/>
  <c r="G7" i="11"/>
  <c r="C21" i="11"/>
  <c r="C11" i="19" s="1"/>
  <c r="G12" i="17"/>
  <c r="H12" i="17" s="1"/>
  <c r="G11" i="17"/>
  <c r="H11" i="17" s="1"/>
  <c r="G10" i="17"/>
  <c r="H10" i="17" s="1"/>
  <c r="G22" i="11" l="1"/>
  <c r="G30" i="11"/>
  <c r="G38" i="11"/>
  <c r="G46" i="11"/>
  <c r="G54" i="11"/>
  <c r="G62" i="11"/>
  <c r="G78" i="11"/>
  <c r="G86" i="11"/>
  <c r="G94" i="11"/>
  <c r="G102" i="11"/>
  <c r="G110" i="11"/>
  <c r="G118" i="11"/>
  <c r="G126" i="11"/>
  <c r="G134" i="11"/>
  <c r="G142" i="11"/>
  <c r="G150" i="11"/>
  <c r="G158" i="11"/>
  <c r="G166" i="11"/>
  <c r="G174" i="11"/>
  <c r="G182" i="11"/>
  <c r="G190" i="11"/>
  <c r="G198" i="11"/>
  <c r="G206" i="11"/>
  <c r="G214" i="11"/>
  <c r="G222" i="11"/>
  <c r="G230" i="11"/>
  <c r="G238" i="11"/>
  <c r="G29" i="11"/>
  <c r="G37" i="11"/>
  <c r="G45" i="11"/>
  <c r="G53" i="11"/>
  <c r="G61" i="11"/>
  <c r="G77" i="11"/>
  <c r="G85" i="11"/>
  <c r="G93" i="11"/>
  <c r="G101" i="11"/>
  <c r="G109" i="11"/>
  <c r="G117" i="11"/>
  <c r="G125" i="11"/>
  <c r="G133" i="11"/>
  <c r="G141" i="11"/>
  <c r="G149" i="11"/>
  <c r="G157" i="11"/>
  <c r="G165" i="11"/>
  <c r="G173" i="11"/>
  <c r="G181" i="11"/>
  <c r="G189" i="11"/>
  <c r="H189" i="11" s="1"/>
  <c r="G197" i="11"/>
  <c r="G205" i="11"/>
  <c r="G213" i="11"/>
  <c r="G221" i="11"/>
  <c r="G229" i="11"/>
  <c r="G237" i="11"/>
  <c r="G223" i="11"/>
  <c r="G28" i="11"/>
  <c r="G36" i="11"/>
  <c r="G44" i="11"/>
  <c r="G52" i="11"/>
  <c r="G60" i="11"/>
  <c r="G68" i="11"/>
  <c r="G76" i="11"/>
  <c r="G84" i="11"/>
  <c r="G92" i="11"/>
  <c r="G100" i="11"/>
  <c r="G108" i="11"/>
  <c r="G116" i="11"/>
  <c r="G124" i="11"/>
  <c r="G132" i="11"/>
  <c r="G140" i="11"/>
  <c r="G148" i="11"/>
  <c r="G156" i="11"/>
  <c r="G164" i="11"/>
  <c r="G172" i="11"/>
  <c r="G180" i="11"/>
  <c r="G188" i="11"/>
  <c r="G196" i="11"/>
  <c r="H196" i="11" s="1"/>
  <c r="G204" i="11"/>
  <c r="G212" i="11"/>
  <c r="G220" i="11"/>
  <c r="G228" i="11"/>
  <c r="G236" i="11"/>
  <c r="G239" i="11"/>
  <c r="G27" i="11"/>
  <c r="G35" i="11"/>
  <c r="G43" i="11"/>
  <c r="G51" i="11"/>
  <c r="G59" i="11"/>
  <c r="G67" i="11"/>
  <c r="G75" i="11"/>
  <c r="G83" i="11"/>
  <c r="G91" i="11"/>
  <c r="G99" i="11"/>
  <c r="G107" i="11"/>
  <c r="G115" i="11"/>
  <c r="G123" i="11"/>
  <c r="G131" i="11"/>
  <c r="G139" i="11"/>
  <c r="G147" i="11"/>
  <c r="G155" i="11"/>
  <c r="G163" i="11"/>
  <c r="G171" i="11"/>
  <c r="G179" i="11"/>
  <c r="G187" i="11"/>
  <c r="H187" i="11" s="1"/>
  <c r="G195" i="11"/>
  <c r="H195" i="11" s="1"/>
  <c r="G203" i="11"/>
  <c r="G211" i="11"/>
  <c r="G219" i="11"/>
  <c r="G227" i="11"/>
  <c r="G235" i="11"/>
  <c r="G71" i="11"/>
  <c r="G95" i="11"/>
  <c r="G135" i="11"/>
  <c r="G231" i="11"/>
  <c r="G26" i="11"/>
  <c r="G34" i="11"/>
  <c r="I3" i="11" s="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H186" i="11" s="1"/>
  <c r="G194" i="11"/>
  <c r="G202" i="11"/>
  <c r="G210" i="11"/>
  <c r="G218" i="11"/>
  <c r="G226" i="11"/>
  <c r="G234" i="11"/>
  <c r="G23" i="11"/>
  <c r="G55" i="11"/>
  <c r="G199" i="11"/>
  <c r="G25" i="11"/>
  <c r="G33" i="11"/>
  <c r="G41" i="11"/>
  <c r="H41" i="11" s="1"/>
  <c r="G49" i="11"/>
  <c r="G57" i="11"/>
  <c r="G65" i="11"/>
  <c r="G73" i="11"/>
  <c r="G81" i="11"/>
  <c r="G89" i="11"/>
  <c r="G97" i="11"/>
  <c r="G105" i="11"/>
  <c r="G113" i="11"/>
  <c r="G121" i="11"/>
  <c r="G129" i="11"/>
  <c r="G137" i="11"/>
  <c r="G145" i="11"/>
  <c r="G153" i="11"/>
  <c r="G161" i="11"/>
  <c r="G169" i="11"/>
  <c r="G177" i="11"/>
  <c r="G185" i="11"/>
  <c r="H185" i="11" s="1"/>
  <c r="G193" i="11"/>
  <c r="G201" i="11"/>
  <c r="G209" i="11"/>
  <c r="G217" i="11"/>
  <c r="G225" i="11"/>
  <c r="G233" i="11"/>
  <c r="G31" i="11"/>
  <c r="G39" i="11"/>
  <c r="H39" i="11" s="1"/>
  <c r="G47" i="11"/>
  <c r="G63" i="11"/>
  <c r="G87" i="11"/>
  <c r="G111" i="11"/>
  <c r="G119" i="11"/>
  <c r="G175" i="11"/>
  <c r="G183" i="11"/>
  <c r="H183" i="11" s="1"/>
  <c r="G24" i="11"/>
  <c r="G32" i="11"/>
  <c r="G40" i="11"/>
  <c r="H40" i="11" s="1"/>
  <c r="G48" i="11"/>
  <c r="G56" i="11"/>
  <c r="G64" i="11"/>
  <c r="G72" i="11"/>
  <c r="G80" i="11"/>
  <c r="G88" i="11"/>
  <c r="G96" i="11"/>
  <c r="G104" i="11"/>
  <c r="G112" i="11"/>
  <c r="G120" i="11"/>
  <c r="G128" i="11"/>
  <c r="G136" i="11"/>
  <c r="G144" i="11"/>
  <c r="G152" i="11"/>
  <c r="G160" i="11"/>
  <c r="G168" i="11"/>
  <c r="G176" i="11"/>
  <c r="G184" i="11"/>
  <c r="G192" i="11"/>
  <c r="H192" i="11" s="1"/>
  <c r="G200" i="11"/>
  <c r="H200" i="11" s="1"/>
  <c r="G208" i="11"/>
  <c r="G216" i="11"/>
  <c r="G224" i="11"/>
  <c r="G232" i="11"/>
  <c r="G79" i="11"/>
  <c r="G103" i="11"/>
  <c r="G127" i="11"/>
  <c r="G143" i="11"/>
  <c r="G151" i="11"/>
  <c r="G159" i="11"/>
  <c r="G167" i="11"/>
  <c r="G191" i="11"/>
  <c r="G207" i="11"/>
  <c r="G215" i="11"/>
  <c r="H38" i="11"/>
  <c r="H193" i="11"/>
  <c r="H188" i="11"/>
  <c r="H190" i="11"/>
  <c r="H179" i="11"/>
  <c r="U11" i="19"/>
  <c r="V11" i="19"/>
  <c r="T11" i="19"/>
  <c r="S11" i="19"/>
  <c r="G21" i="11"/>
  <c r="J218" i="11" l="1"/>
  <c r="K218" i="11"/>
  <c r="L218" i="11"/>
  <c r="H218" i="11"/>
  <c r="J228" i="11"/>
  <c r="K228" i="11"/>
  <c r="L228" i="11"/>
  <c r="H228" i="11"/>
  <c r="J233" i="11"/>
  <c r="K233" i="11"/>
  <c r="L233" i="11"/>
  <c r="H233" i="11"/>
  <c r="L231" i="11"/>
  <c r="K231" i="11"/>
  <c r="J231" i="11"/>
  <c r="H231" i="11"/>
  <c r="J220" i="11"/>
  <c r="K220" i="11"/>
  <c r="L220" i="11"/>
  <c r="H220" i="11"/>
  <c r="J225" i="11"/>
  <c r="K225" i="11"/>
  <c r="L225" i="11"/>
  <c r="H225" i="11"/>
  <c r="L223" i="11"/>
  <c r="K223" i="11"/>
  <c r="J223" i="11"/>
  <c r="H223" i="11"/>
  <c r="J232" i="11"/>
  <c r="K232" i="11"/>
  <c r="L232" i="11"/>
  <c r="H232" i="11"/>
  <c r="J217" i="11"/>
  <c r="K217" i="11"/>
  <c r="L217" i="11"/>
  <c r="H217" i="11"/>
  <c r="J237" i="11"/>
  <c r="K237" i="11"/>
  <c r="L237" i="11"/>
  <c r="H237" i="11"/>
  <c r="J224" i="11"/>
  <c r="K224" i="11"/>
  <c r="L224" i="11"/>
  <c r="H224" i="11"/>
  <c r="J229" i="11"/>
  <c r="K229" i="11"/>
  <c r="L229" i="11"/>
  <c r="H229" i="11"/>
  <c r="J238" i="11"/>
  <c r="K238" i="11"/>
  <c r="L238" i="11"/>
  <c r="H238" i="11"/>
  <c r="L235" i="11"/>
  <c r="K235" i="11"/>
  <c r="J235" i="11"/>
  <c r="H235" i="11"/>
  <c r="L239" i="11"/>
  <c r="K239" i="11"/>
  <c r="J239" i="11"/>
  <c r="H239" i="11"/>
  <c r="J221" i="11"/>
  <c r="K221" i="11"/>
  <c r="L221" i="11"/>
  <c r="H221" i="11"/>
  <c r="J230" i="11"/>
  <c r="K230" i="11"/>
  <c r="L230" i="11"/>
  <c r="H230" i="11"/>
  <c r="J234" i="11"/>
  <c r="K234" i="11"/>
  <c r="L234" i="11"/>
  <c r="H234" i="11"/>
  <c r="L227" i="11"/>
  <c r="K227" i="11"/>
  <c r="J227" i="11"/>
  <c r="H227" i="11"/>
  <c r="J222" i="11"/>
  <c r="K222" i="11"/>
  <c r="L222" i="11"/>
  <c r="H222" i="11"/>
  <c r="J226" i="11"/>
  <c r="K226" i="11"/>
  <c r="L226" i="11"/>
  <c r="H226" i="11"/>
  <c r="L219" i="11"/>
  <c r="K219" i="11"/>
  <c r="J219" i="11"/>
  <c r="H219" i="11"/>
  <c r="J236" i="11"/>
  <c r="K236" i="11"/>
  <c r="L236" i="11"/>
  <c r="H236" i="11"/>
  <c r="L212" i="11"/>
  <c r="J212" i="11"/>
  <c r="K212" i="11"/>
  <c r="H212" i="11"/>
  <c r="K202" i="11"/>
  <c r="L202" i="11"/>
  <c r="J202" i="11"/>
  <c r="H202" i="11"/>
  <c r="L213" i="11"/>
  <c r="J213" i="11"/>
  <c r="K213" i="11"/>
  <c r="H213" i="11"/>
  <c r="J215" i="11"/>
  <c r="K215" i="11"/>
  <c r="L215" i="11"/>
  <c r="H215" i="11"/>
  <c r="J209" i="11"/>
  <c r="K209" i="11"/>
  <c r="L209" i="11"/>
  <c r="H209" i="11"/>
  <c r="L205" i="11"/>
  <c r="J205" i="11"/>
  <c r="K205" i="11"/>
  <c r="H205" i="11"/>
  <c r="J207" i="11"/>
  <c r="K207" i="11"/>
  <c r="L207" i="11"/>
  <c r="H207" i="11"/>
  <c r="K204" i="11"/>
  <c r="J204" i="11"/>
  <c r="L204" i="11"/>
  <c r="H204" i="11"/>
  <c r="J216" i="11"/>
  <c r="K216" i="11"/>
  <c r="H216" i="11"/>
  <c r="L216" i="11"/>
  <c r="J201" i="11"/>
  <c r="K201" i="11"/>
  <c r="L201" i="11"/>
  <c r="H201" i="11"/>
  <c r="J208" i="11"/>
  <c r="K208" i="11"/>
  <c r="L208" i="11"/>
  <c r="H208" i="11"/>
  <c r="J214" i="11"/>
  <c r="K214" i="11"/>
  <c r="L214" i="11"/>
  <c r="H214" i="11"/>
  <c r="L203" i="11"/>
  <c r="J203" i="11"/>
  <c r="K203" i="11"/>
  <c r="H203" i="11"/>
  <c r="J206" i="11"/>
  <c r="K206" i="11"/>
  <c r="L206" i="11"/>
  <c r="H206" i="11"/>
  <c r="K210" i="11"/>
  <c r="L210" i="11"/>
  <c r="J210" i="11"/>
  <c r="H210" i="11"/>
  <c r="L211" i="11"/>
  <c r="J211" i="11"/>
  <c r="K211" i="11"/>
  <c r="H211" i="11"/>
  <c r="H33" i="11"/>
  <c r="H24" i="11"/>
  <c r="H36" i="11"/>
  <c r="H31" i="11"/>
  <c r="H23" i="11"/>
  <c r="H30" i="11"/>
  <c r="H26" i="11"/>
  <c r="H32" i="11"/>
  <c r="H34" i="11"/>
  <c r="H29" i="11"/>
  <c r="H22" i="11"/>
  <c r="L22" i="11"/>
  <c r="H28" i="11"/>
  <c r="H86" i="11"/>
  <c r="H165" i="11"/>
  <c r="H135" i="11"/>
  <c r="H142" i="11"/>
  <c r="H110" i="11"/>
  <c r="H131" i="11"/>
  <c r="H95" i="11"/>
  <c r="H63" i="11"/>
  <c r="H84" i="11"/>
  <c r="H61" i="11"/>
  <c r="H124" i="11"/>
  <c r="H137" i="11"/>
  <c r="H52" i="11"/>
  <c r="H53" i="11"/>
  <c r="H170" i="11"/>
  <c r="H85" i="11"/>
  <c r="H149" i="11"/>
  <c r="H127" i="11"/>
  <c r="H91" i="11"/>
  <c r="H59" i="11"/>
  <c r="H171" i="11"/>
  <c r="H60" i="11"/>
  <c r="H101" i="11"/>
  <c r="H145" i="11"/>
  <c r="H166" i="11"/>
  <c r="H125" i="11"/>
  <c r="H155" i="11"/>
  <c r="H123" i="11"/>
  <c r="H87" i="11"/>
  <c r="H55" i="11"/>
  <c r="H172" i="11"/>
  <c r="H140" i="11"/>
  <c r="H76" i="11"/>
  <c r="H129" i="11"/>
  <c r="H83" i="11"/>
  <c r="H51" i="11"/>
  <c r="H169" i="11"/>
  <c r="H168" i="11"/>
  <c r="H136" i="11"/>
  <c r="H72" i="11"/>
  <c r="H167" i="11"/>
  <c r="H126" i="11"/>
  <c r="H94" i="11"/>
  <c r="H62" i="11"/>
  <c r="H89" i="11"/>
  <c r="H111" i="11"/>
  <c r="H79" i="11"/>
  <c r="H132" i="11"/>
  <c r="H100" i="11"/>
  <c r="H68" i="11"/>
  <c r="H109" i="11"/>
  <c r="H90" i="11"/>
  <c r="H58" i="11"/>
  <c r="H107" i="11"/>
  <c r="H160" i="11"/>
  <c r="H96" i="11"/>
  <c r="H64" i="11"/>
  <c r="H69" i="11"/>
  <c r="H182" i="11"/>
  <c r="H139" i="11"/>
  <c r="H71" i="11"/>
  <c r="H92" i="11"/>
  <c r="H56" i="11"/>
  <c r="J34" i="11"/>
  <c r="H77" i="11"/>
  <c r="H45" i="11"/>
  <c r="H178" i="11"/>
  <c r="H146" i="11"/>
  <c r="H114" i="11"/>
  <c r="H82" i="11"/>
  <c r="H46" i="11"/>
  <c r="H199" i="11"/>
  <c r="H99" i="11"/>
  <c r="H67" i="11"/>
  <c r="H184" i="11"/>
  <c r="H152" i="11"/>
  <c r="H120" i="11"/>
  <c r="H88" i="11"/>
  <c r="H153" i="11"/>
  <c r="H173" i="11"/>
  <c r="H103" i="11"/>
  <c r="H27" i="11"/>
  <c r="H180" i="11"/>
  <c r="H148" i="11"/>
  <c r="H116" i="11"/>
  <c r="H48" i="11"/>
  <c r="L21" i="11"/>
  <c r="H21" i="11"/>
  <c r="K34" i="11"/>
  <c r="H181" i="11"/>
  <c r="H138" i="11"/>
  <c r="H106" i="11"/>
  <c r="H74" i="11"/>
  <c r="H191" i="11"/>
  <c r="H159" i="11"/>
  <c r="H97" i="11"/>
  <c r="H176" i="11"/>
  <c r="H144" i="11"/>
  <c r="H112" i="11"/>
  <c r="H80" i="11"/>
  <c r="H44" i="11"/>
  <c r="H158" i="11"/>
  <c r="H118" i="11"/>
  <c r="H57" i="11"/>
  <c r="H42" i="11"/>
  <c r="H121" i="11"/>
  <c r="H49" i="11"/>
  <c r="H198" i="11"/>
  <c r="H134" i="11"/>
  <c r="H102" i="11"/>
  <c r="H70" i="11"/>
  <c r="H65" i="11"/>
  <c r="H177" i="11"/>
  <c r="H25" i="11"/>
  <c r="H108" i="11"/>
  <c r="H105" i="11"/>
  <c r="H150" i="11"/>
  <c r="H54" i="11"/>
  <c r="H156" i="11"/>
  <c r="L34" i="11"/>
  <c r="H50" i="11"/>
  <c r="H37" i="11"/>
  <c r="H174" i="11"/>
  <c r="H78" i="11"/>
  <c r="H117" i="11"/>
  <c r="H157" i="11"/>
  <c r="H163" i="11"/>
  <c r="H115" i="11"/>
  <c r="H141" i="11"/>
  <c r="H194" i="11"/>
  <c r="H162" i="11"/>
  <c r="H130" i="11"/>
  <c r="H98" i="11"/>
  <c r="H66" i="11"/>
  <c r="H197" i="11"/>
  <c r="H93" i="11"/>
  <c r="H151" i="11"/>
  <c r="H119" i="11"/>
  <c r="H104" i="11"/>
  <c r="H113" i="11"/>
  <c r="H147" i="11"/>
  <c r="H47" i="11"/>
  <c r="H161" i="11"/>
  <c r="H164" i="11"/>
  <c r="H35" i="11"/>
  <c r="H73" i="11"/>
  <c r="H154" i="11"/>
  <c r="H122" i="11"/>
  <c r="H81" i="11"/>
  <c r="H175" i="11"/>
  <c r="H143" i="11"/>
  <c r="H75" i="11"/>
  <c r="H43" i="11"/>
  <c r="H133" i="11"/>
  <c r="H128" i="11"/>
  <c r="J165" i="11"/>
  <c r="L165" i="11"/>
  <c r="K165" i="11"/>
  <c r="K171" i="11"/>
  <c r="L171" i="11"/>
  <c r="J171" i="11"/>
  <c r="K196" i="11"/>
  <c r="J196" i="11"/>
  <c r="L196" i="11"/>
  <c r="K160" i="11"/>
  <c r="L160" i="11"/>
  <c r="J160" i="11"/>
  <c r="K176" i="11"/>
  <c r="J176" i="11"/>
  <c r="L176" i="11"/>
  <c r="K139" i="11"/>
  <c r="J139" i="11"/>
  <c r="L139" i="11"/>
  <c r="J177" i="11"/>
  <c r="L177" i="11"/>
  <c r="K177" i="11"/>
  <c r="K156" i="11"/>
  <c r="J156" i="11"/>
  <c r="L156" i="11"/>
  <c r="K132" i="11"/>
  <c r="L132" i="11"/>
  <c r="J132" i="11"/>
  <c r="J137" i="11"/>
  <c r="L137" i="11"/>
  <c r="K137" i="11"/>
  <c r="K168" i="11"/>
  <c r="L168" i="11"/>
  <c r="J168" i="11"/>
  <c r="J131" i="11"/>
  <c r="K131" i="11"/>
  <c r="L131" i="11"/>
  <c r="K166" i="11"/>
  <c r="J166" i="11"/>
  <c r="L166" i="11"/>
  <c r="L195" i="11"/>
  <c r="K195" i="11"/>
  <c r="J195" i="11"/>
  <c r="J188" i="11"/>
  <c r="K188" i="11"/>
  <c r="L188" i="11"/>
  <c r="L159" i="11"/>
  <c r="J159" i="11"/>
  <c r="K159" i="11"/>
  <c r="K198" i="11"/>
  <c r="J198" i="11"/>
  <c r="L198" i="11"/>
  <c r="K162" i="11"/>
  <c r="J162" i="11"/>
  <c r="L162" i="11"/>
  <c r="K199" i="11"/>
  <c r="J199" i="11"/>
  <c r="L199" i="11"/>
  <c r="K175" i="11"/>
  <c r="L175" i="11"/>
  <c r="J175" i="11"/>
  <c r="K170" i="11"/>
  <c r="J170" i="11"/>
  <c r="L170" i="11"/>
  <c r="K155" i="11"/>
  <c r="L155" i="11"/>
  <c r="J155" i="11"/>
  <c r="K136" i="11"/>
  <c r="J136" i="11"/>
  <c r="L136" i="11"/>
  <c r="K179" i="11"/>
  <c r="L179" i="11"/>
  <c r="J179" i="11"/>
  <c r="L142" i="11"/>
  <c r="K142" i="11"/>
  <c r="J142" i="11"/>
  <c r="K172" i="11"/>
  <c r="J172" i="11"/>
  <c r="L172" i="11"/>
  <c r="J149" i="11"/>
  <c r="K149" i="11"/>
  <c r="L149" i="11"/>
  <c r="J145" i="11"/>
  <c r="L145" i="11"/>
  <c r="K145" i="11"/>
  <c r="J200" i="11"/>
  <c r="L200" i="11"/>
  <c r="K200" i="11"/>
  <c r="L158" i="11"/>
  <c r="J158" i="11"/>
  <c r="K158" i="11"/>
  <c r="K187" i="11"/>
  <c r="L187" i="11"/>
  <c r="J187" i="11"/>
  <c r="L150" i="11"/>
  <c r="J150" i="11"/>
  <c r="K150" i="11"/>
  <c r="J197" i="11"/>
  <c r="K197" i="11"/>
  <c r="L197" i="11"/>
  <c r="K143" i="11"/>
  <c r="J143" i="11"/>
  <c r="L143" i="11"/>
  <c r="J161" i="11"/>
  <c r="K161" i="11"/>
  <c r="L161" i="11"/>
  <c r="J169" i="11"/>
  <c r="L169" i="11"/>
  <c r="K169" i="11"/>
  <c r="L146" i="11"/>
  <c r="K146" i="11"/>
  <c r="J146" i="11"/>
  <c r="J185" i="11"/>
  <c r="L185" i="11"/>
  <c r="K185" i="11"/>
  <c r="K135" i="11"/>
  <c r="L135" i="11"/>
  <c r="J135" i="11"/>
  <c r="K147" i="11"/>
  <c r="L147" i="11"/>
  <c r="J147" i="11"/>
  <c r="K183" i="11"/>
  <c r="J183" i="11"/>
  <c r="L183" i="11"/>
  <c r="J157" i="11"/>
  <c r="K157" i="11"/>
  <c r="L157" i="11"/>
  <c r="J189" i="11"/>
  <c r="L189" i="11"/>
  <c r="K189" i="11"/>
  <c r="J173" i="11"/>
  <c r="K173" i="11"/>
  <c r="L173" i="11"/>
  <c r="K192" i="11"/>
  <c r="J192" i="11"/>
  <c r="L192" i="11"/>
  <c r="K164" i="11"/>
  <c r="L164" i="11"/>
  <c r="J164" i="11"/>
  <c r="J141" i="11"/>
  <c r="L141" i="11"/>
  <c r="K141" i="11"/>
  <c r="K130" i="11"/>
  <c r="L130" i="11"/>
  <c r="J130" i="11"/>
  <c r="J193" i="11"/>
  <c r="K193" i="11"/>
  <c r="L193" i="11"/>
  <c r="K186" i="11"/>
  <c r="L186" i="11"/>
  <c r="J186" i="11"/>
  <c r="K182" i="11"/>
  <c r="L182" i="11"/>
  <c r="J182" i="11"/>
  <c r="K190" i="11"/>
  <c r="L190" i="11"/>
  <c r="J190" i="11"/>
  <c r="K152" i="11"/>
  <c r="L152" i="11"/>
  <c r="J152" i="11"/>
  <c r="K167" i="11"/>
  <c r="L167" i="11"/>
  <c r="J167" i="11"/>
  <c r="K191" i="11"/>
  <c r="L191" i="11"/>
  <c r="J191" i="11"/>
  <c r="K163" i="11"/>
  <c r="L163" i="11"/>
  <c r="J163" i="11"/>
  <c r="K140" i="11"/>
  <c r="L140" i="11"/>
  <c r="J140" i="11"/>
  <c r="K178" i="11"/>
  <c r="J178" i="11"/>
  <c r="L178" i="11"/>
  <c r="J129" i="11"/>
  <c r="K129" i="11"/>
  <c r="L129" i="11"/>
  <c r="L138" i="11"/>
  <c r="K138" i="11"/>
  <c r="J138" i="11"/>
  <c r="J153" i="11"/>
  <c r="K153" i="11"/>
  <c r="L153" i="11"/>
  <c r="K144" i="11"/>
  <c r="J144" i="11"/>
  <c r="L144" i="11"/>
  <c r="J133" i="11"/>
  <c r="L133" i="11"/>
  <c r="K133" i="11"/>
  <c r="J180" i="11"/>
  <c r="L180" i="11"/>
  <c r="K180" i="11"/>
  <c r="K148" i="11"/>
  <c r="L148" i="11"/>
  <c r="J148" i="11"/>
  <c r="K174" i="11"/>
  <c r="J174" i="11"/>
  <c r="L174" i="11"/>
  <c r="J181" i="11"/>
  <c r="L181" i="11"/>
  <c r="K181" i="11"/>
  <c r="K151" i="11"/>
  <c r="L151" i="11"/>
  <c r="J151" i="11"/>
  <c r="K184" i="11"/>
  <c r="J184" i="11"/>
  <c r="L184" i="11"/>
  <c r="L154" i="11"/>
  <c r="K154" i="11"/>
  <c r="J154" i="11"/>
  <c r="K194" i="11"/>
  <c r="J194" i="11"/>
  <c r="L194" i="11"/>
  <c r="L134" i="11"/>
  <c r="K134" i="11"/>
  <c r="J134" i="11"/>
  <c r="K30" i="11"/>
  <c r="L30" i="11"/>
  <c r="J30" i="11"/>
  <c r="J58" i="11"/>
  <c r="K58" i="11"/>
  <c r="L58" i="11"/>
  <c r="L111" i="11"/>
  <c r="J111" i="11"/>
  <c r="K111" i="11"/>
  <c r="J61" i="11"/>
  <c r="L61" i="11"/>
  <c r="K61" i="11"/>
  <c r="J103" i="11"/>
  <c r="K103" i="11"/>
  <c r="L103" i="11"/>
  <c r="J68" i="11"/>
  <c r="L68" i="11"/>
  <c r="K68" i="11"/>
  <c r="J110" i="11"/>
  <c r="K110" i="11"/>
  <c r="L110" i="11"/>
  <c r="L83" i="11"/>
  <c r="J83" i="11"/>
  <c r="K83" i="11"/>
  <c r="L70" i="11"/>
  <c r="J70" i="11"/>
  <c r="K70" i="11"/>
  <c r="J66" i="11"/>
  <c r="K66" i="11"/>
  <c r="L66" i="11"/>
  <c r="J119" i="11"/>
  <c r="L119" i="11"/>
  <c r="K119" i="11"/>
  <c r="K121" i="11"/>
  <c r="J121" i="11"/>
  <c r="L121" i="11"/>
  <c r="K57" i="11"/>
  <c r="J57" i="11"/>
  <c r="L57" i="11"/>
  <c r="K88" i="11"/>
  <c r="J88" i="11"/>
  <c r="L88" i="11"/>
  <c r="K24" i="11"/>
  <c r="J24" i="11"/>
  <c r="L24" i="11"/>
  <c r="J82" i="11"/>
  <c r="K82" i="11"/>
  <c r="L82" i="11"/>
  <c r="J125" i="11"/>
  <c r="K125" i="11"/>
  <c r="L125" i="11"/>
  <c r="J53" i="11"/>
  <c r="L53" i="11"/>
  <c r="K53" i="11"/>
  <c r="J23" i="11"/>
  <c r="L23" i="11"/>
  <c r="K23" i="11"/>
  <c r="J124" i="11"/>
  <c r="L124" i="11"/>
  <c r="K124" i="11"/>
  <c r="J60" i="11"/>
  <c r="L60" i="11"/>
  <c r="K60" i="11"/>
  <c r="J127" i="11"/>
  <c r="K127" i="11"/>
  <c r="L127" i="11"/>
  <c r="L86" i="11"/>
  <c r="J86" i="11"/>
  <c r="K86" i="11"/>
  <c r="L75" i="11"/>
  <c r="J75" i="11"/>
  <c r="K75" i="11"/>
  <c r="J22" i="11"/>
  <c r="K22" i="11"/>
  <c r="J122" i="11"/>
  <c r="K122" i="11"/>
  <c r="L122" i="11"/>
  <c r="J50" i="11"/>
  <c r="K50" i="11"/>
  <c r="L50" i="11"/>
  <c r="J39" i="11"/>
  <c r="L39" i="11"/>
  <c r="K39" i="11"/>
  <c r="K113" i="11"/>
  <c r="L113" i="11"/>
  <c r="J113" i="11"/>
  <c r="K41" i="11"/>
  <c r="J41" i="11"/>
  <c r="L41" i="11"/>
  <c r="K80" i="11"/>
  <c r="L80" i="11"/>
  <c r="J80" i="11"/>
  <c r="J84" i="11"/>
  <c r="L84" i="11"/>
  <c r="K84" i="11"/>
  <c r="L99" i="11"/>
  <c r="J99" i="11"/>
  <c r="K99" i="11"/>
  <c r="J38" i="11"/>
  <c r="K38" i="11"/>
  <c r="L38" i="11"/>
  <c r="J71" i="11"/>
  <c r="K71" i="11"/>
  <c r="L71" i="11"/>
  <c r="J117" i="11"/>
  <c r="L117" i="11"/>
  <c r="K117" i="11"/>
  <c r="J45" i="11"/>
  <c r="L45" i="11"/>
  <c r="K45" i="11"/>
  <c r="J116" i="11"/>
  <c r="L116" i="11"/>
  <c r="K116" i="11"/>
  <c r="J52" i="11"/>
  <c r="L52" i="11"/>
  <c r="K52" i="11"/>
  <c r="J95" i="11"/>
  <c r="L95" i="11"/>
  <c r="K95" i="11"/>
  <c r="J46" i="11"/>
  <c r="K46" i="11"/>
  <c r="L46" i="11"/>
  <c r="L67" i="11"/>
  <c r="J67" i="11"/>
  <c r="K67" i="11"/>
  <c r="J114" i="11"/>
  <c r="K114" i="11"/>
  <c r="L114" i="11"/>
  <c r="L42" i="11"/>
  <c r="K42" i="11"/>
  <c r="J42" i="11"/>
  <c r="J105" i="11"/>
  <c r="K105" i="11"/>
  <c r="L105" i="11"/>
  <c r="J33" i="11"/>
  <c r="K33" i="11"/>
  <c r="L33" i="11"/>
  <c r="K72" i="11"/>
  <c r="J72" i="11"/>
  <c r="L72" i="11"/>
  <c r="J36" i="11"/>
  <c r="L36" i="11"/>
  <c r="K36" i="11"/>
  <c r="J87" i="11"/>
  <c r="L87" i="11"/>
  <c r="K87" i="11"/>
  <c r="J63" i="11"/>
  <c r="K63" i="11"/>
  <c r="L63" i="11"/>
  <c r="J101" i="11"/>
  <c r="L101" i="11"/>
  <c r="K101" i="11"/>
  <c r="J37" i="11"/>
  <c r="K37" i="11"/>
  <c r="L37" i="11"/>
  <c r="J108" i="11"/>
  <c r="L108" i="11"/>
  <c r="K108" i="11"/>
  <c r="J44" i="11"/>
  <c r="L44" i="11"/>
  <c r="K44" i="11"/>
  <c r="J79" i="11"/>
  <c r="L79" i="11"/>
  <c r="K79" i="11"/>
  <c r="L123" i="11"/>
  <c r="J123" i="11"/>
  <c r="K123" i="11"/>
  <c r="L59" i="11"/>
  <c r="J59" i="11"/>
  <c r="K59" i="11"/>
  <c r="L106" i="11"/>
  <c r="J106" i="11"/>
  <c r="K106" i="11"/>
  <c r="J26" i="11"/>
  <c r="K26" i="11"/>
  <c r="L26" i="11"/>
  <c r="J97" i="11"/>
  <c r="K97" i="11"/>
  <c r="L97" i="11"/>
  <c r="L25" i="11"/>
  <c r="K25" i="11"/>
  <c r="J25" i="11"/>
  <c r="J54" i="11"/>
  <c r="K54" i="11"/>
  <c r="L54" i="11"/>
  <c r="K128" i="11"/>
  <c r="L128" i="11"/>
  <c r="J128" i="11"/>
  <c r="K64" i="11"/>
  <c r="L64" i="11"/>
  <c r="J64" i="11"/>
  <c r="J94" i="11"/>
  <c r="K94" i="11"/>
  <c r="L94" i="11"/>
  <c r="J109" i="11"/>
  <c r="K109" i="11"/>
  <c r="L109" i="11"/>
  <c r="J31" i="11"/>
  <c r="L31" i="11"/>
  <c r="K31" i="11"/>
  <c r="J93" i="11"/>
  <c r="K93" i="11"/>
  <c r="L93" i="11"/>
  <c r="J29" i="11"/>
  <c r="K29" i="11"/>
  <c r="L29" i="11"/>
  <c r="J118" i="11"/>
  <c r="K118" i="11"/>
  <c r="L118" i="11"/>
  <c r="J100" i="11"/>
  <c r="L100" i="11"/>
  <c r="K100" i="11"/>
  <c r="J28" i="11"/>
  <c r="L28" i="11"/>
  <c r="K28" i="11"/>
  <c r="J55" i="11"/>
  <c r="K55" i="11"/>
  <c r="L55" i="11"/>
  <c r="L115" i="11"/>
  <c r="J115" i="11"/>
  <c r="K115" i="11"/>
  <c r="L51" i="11"/>
  <c r="J51" i="11"/>
  <c r="K51" i="11"/>
  <c r="J98" i="11"/>
  <c r="K98" i="11"/>
  <c r="L98" i="11"/>
  <c r="K89" i="11"/>
  <c r="L89" i="11"/>
  <c r="J89" i="11"/>
  <c r="K120" i="11"/>
  <c r="J120" i="11"/>
  <c r="L120" i="11"/>
  <c r="K56" i="11"/>
  <c r="J56" i="11"/>
  <c r="L56" i="11"/>
  <c r="L35" i="11"/>
  <c r="J35" i="11"/>
  <c r="K35" i="11"/>
  <c r="J85" i="11"/>
  <c r="L85" i="11"/>
  <c r="K85" i="11"/>
  <c r="J62" i="11"/>
  <c r="K62" i="11"/>
  <c r="L62" i="11"/>
  <c r="J92" i="11"/>
  <c r="L92" i="11"/>
  <c r="K92" i="11"/>
  <c r="L107" i="11"/>
  <c r="J107" i="11"/>
  <c r="K107" i="11"/>
  <c r="L43" i="11"/>
  <c r="J43" i="11"/>
  <c r="K43" i="11"/>
  <c r="L126" i="11"/>
  <c r="J126" i="11"/>
  <c r="K126" i="11"/>
  <c r="L90" i="11"/>
  <c r="J90" i="11"/>
  <c r="K90" i="11"/>
  <c r="J102" i="11"/>
  <c r="K102" i="11"/>
  <c r="L102" i="11"/>
  <c r="J81" i="11"/>
  <c r="K81" i="11"/>
  <c r="L81" i="11"/>
  <c r="K112" i="11"/>
  <c r="J112" i="11"/>
  <c r="L112" i="11"/>
  <c r="K48" i="11"/>
  <c r="L48" i="11"/>
  <c r="J48" i="11"/>
  <c r="K104" i="11"/>
  <c r="L104" i="11"/>
  <c r="J104" i="11"/>
  <c r="K40" i="11"/>
  <c r="J40" i="11"/>
  <c r="L40" i="11"/>
  <c r="J77" i="11"/>
  <c r="L77" i="11"/>
  <c r="K77" i="11"/>
  <c r="L27" i="11"/>
  <c r="K27" i="11"/>
  <c r="J27" i="11"/>
  <c r="K73" i="11"/>
  <c r="L73" i="11"/>
  <c r="J73" i="11"/>
  <c r="J49" i="11"/>
  <c r="K49" i="11"/>
  <c r="L49" i="11"/>
  <c r="J69" i="11"/>
  <c r="L69" i="11"/>
  <c r="K69" i="11"/>
  <c r="J76" i="11"/>
  <c r="L76" i="11"/>
  <c r="K76" i="11"/>
  <c r="L91" i="11"/>
  <c r="J91" i="11"/>
  <c r="K91" i="11"/>
  <c r="J78" i="11"/>
  <c r="K78" i="11"/>
  <c r="L78" i="11"/>
  <c r="J74" i="11"/>
  <c r="K74" i="11"/>
  <c r="L74" i="11"/>
  <c r="J65" i="11"/>
  <c r="K65" i="11"/>
  <c r="L65" i="11"/>
  <c r="J47" i="11"/>
  <c r="L47" i="11"/>
  <c r="K47" i="11"/>
  <c r="K96" i="11"/>
  <c r="L96" i="11"/>
  <c r="J96" i="11"/>
  <c r="K32" i="11"/>
  <c r="J32" i="11"/>
  <c r="L32" i="11"/>
  <c r="J21" i="11"/>
  <c r="K21" i="11"/>
  <c r="N70" i="11" l="1"/>
  <c r="N69" i="11"/>
  <c r="N217" i="11"/>
  <c r="G207" i="19" s="1"/>
  <c r="N218" i="11"/>
  <c r="G208" i="19" s="1"/>
  <c r="N239" i="11"/>
  <c r="G229" i="19" s="1"/>
  <c r="N229" i="11"/>
  <c r="G219" i="19" s="1"/>
  <c r="N236" i="11"/>
  <c r="G226" i="19" s="1"/>
  <c r="N233" i="11"/>
  <c r="G223" i="19" s="1"/>
  <c r="N227" i="11"/>
  <c r="G217" i="19" s="1"/>
  <c r="N224" i="11"/>
  <c r="G214" i="19" s="1"/>
  <c r="N223" i="11"/>
  <c r="G213" i="19" s="1"/>
  <c r="N226" i="11"/>
  <c r="G216" i="19" s="1"/>
  <c r="N220" i="11"/>
  <c r="G210" i="19" s="1"/>
  <c r="N230" i="11"/>
  <c r="G220" i="19" s="1"/>
  <c r="N232" i="11"/>
  <c r="G222" i="19" s="1"/>
  <c r="N225" i="11"/>
  <c r="G215" i="19" s="1"/>
  <c r="N231" i="11"/>
  <c r="G221" i="19" s="1"/>
  <c r="M219" i="11"/>
  <c r="F209" i="19" s="1"/>
  <c r="O219" i="11"/>
  <c r="H209" i="19" s="1"/>
  <c r="M235" i="11"/>
  <c r="F225" i="19" s="1"/>
  <c r="O235" i="11"/>
  <c r="H225" i="19" s="1"/>
  <c r="M222" i="11"/>
  <c r="F212" i="19" s="1"/>
  <c r="O222" i="11"/>
  <c r="H212" i="19" s="1"/>
  <c r="N235" i="11"/>
  <c r="G225" i="19" s="1"/>
  <c r="M224" i="11"/>
  <c r="F214" i="19" s="1"/>
  <c r="O224" i="11"/>
  <c r="H214" i="19" s="1"/>
  <c r="M232" i="11"/>
  <c r="F222" i="19" s="1"/>
  <c r="O232" i="11"/>
  <c r="H222" i="19" s="1"/>
  <c r="M236" i="11"/>
  <c r="F226" i="19" s="1"/>
  <c r="O236" i="11"/>
  <c r="H226" i="19" s="1"/>
  <c r="N222" i="11"/>
  <c r="G212" i="19" s="1"/>
  <c r="M230" i="11"/>
  <c r="F220" i="19" s="1"/>
  <c r="O230" i="11"/>
  <c r="H220" i="19" s="1"/>
  <c r="M233" i="11"/>
  <c r="F223" i="19" s="1"/>
  <c r="O233" i="11"/>
  <c r="H223" i="19" s="1"/>
  <c r="M229" i="11"/>
  <c r="F219" i="19" s="1"/>
  <c r="O229" i="11"/>
  <c r="H219" i="19" s="1"/>
  <c r="M225" i="11"/>
  <c r="F215" i="19" s="1"/>
  <c r="O225" i="11"/>
  <c r="H215" i="19" s="1"/>
  <c r="M234" i="11"/>
  <c r="F224" i="19" s="1"/>
  <c r="O234" i="11"/>
  <c r="H224" i="19" s="1"/>
  <c r="M239" i="11"/>
  <c r="F229" i="19" s="1"/>
  <c r="O239" i="11"/>
  <c r="H229" i="19" s="1"/>
  <c r="M217" i="11"/>
  <c r="F207" i="19" s="1"/>
  <c r="O217" i="11"/>
  <c r="H207" i="19" s="1"/>
  <c r="M218" i="11"/>
  <c r="F208" i="19" s="1"/>
  <c r="O218" i="11"/>
  <c r="H208" i="19" s="1"/>
  <c r="M226" i="11"/>
  <c r="F216" i="19" s="1"/>
  <c r="O226" i="11"/>
  <c r="H216" i="19" s="1"/>
  <c r="N234" i="11"/>
  <c r="G224" i="19" s="1"/>
  <c r="M238" i="11"/>
  <c r="F228" i="19" s="1"/>
  <c r="O238" i="11"/>
  <c r="H228" i="19" s="1"/>
  <c r="M231" i="11"/>
  <c r="F221" i="19" s="1"/>
  <c r="O231" i="11"/>
  <c r="H221" i="19" s="1"/>
  <c r="M221" i="11"/>
  <c r="F211" i="19" s="1"/>
  <c r="O221" i="11"/>
  <c r="H211" i="19" s="1"/>
  <c r="N238" i="11"/>
  <c r="G228" i="19" s="1"/>
  <c r="M237" i="11"/>
  <c r="F227" i="19" s="1"/>
  <c r="O237" i="11"/>
  <c r="H227" i="19" s="1"/>
  <c r="M223" i="11"/>
  <c r="F213" i="19" s="1"/>
  <c r="O223" i="11"/>
  <c r="H213" i="19" s="1"/>
  <c r="M228" i="11"/>
  <c r="F218" i="19" s="1"/>
  <c r="O228" i="11"/>
  <c r="H218" i="19" s="1"/>
  <c r="N219" i="11"/>
  <c r="G209" i="19" s="1"/>
  <c r="M227" i="11"/>
  <c r="F217" i="19" s="1"/>
  <c r="O227" i="11"/>
  <c r="H217" i="19" s="1"/>
  <c r="N221" i="11"/>
  <c r="G211" i="19" s="1"/>
  <c r="N237" i="11"/>
  <c r="G227" i="19" s="1"/>
  <c r="M220" i="11"/>
  <c r="F210" i="19" s="1"/>
  <c r="O220" i="11"/>
  <c r="H210" i="19" s="1"/>
  <c r="N228" i="11"/>
  <c r="G218" i="19" s="1"/>
  <c r="M203" i="11"/>
  <c r="F193" i="19" s="1"/>
  <c r="N27" i="11"/>
  <c r="G17" i="19" s="1"/>
  <c r="N23" i="11"/>
  <c r="N28" i="11"/>
  <c r="N36" i="11"/>
  <c r="N22" i="11"/>
  <c r="G12" i="19" s="1"/>
  <c r="N33" i="11"/>
  <c r="G23" i="19" s="1"/>
  <c r="N34" i="11"/>
  <c r="G24" i="19" s="1"/>
  <c r="N35" i="11"/>
  <c r="G25" i="19" s="1"/>
  <c r="N25" i="11"/>
  <c r="G15" i="19" s="1"/>
  <c r="N24" i="11"/>
  <c r="G14" i="19" s="1"/>
  <c r="N32" i="11"/>
  <c r="N26" i="11"/>
  <c r="G16" i="19" s="1"/>
  <c r="N21" i="11"/>
  <c r="N30" i="11"/>
  <c r="G20" i="19" s="1"/>
  <c r="N29" i="11"/>
  <c r="G19" i="19" s="1"/>
  <c r="M209" i="11"/>
  <c r="F199" i="19" s="1"/>
  <c r="N31" i="11"/>
  <c r="G21" i="19" s="1"/>
  <c r="M216" i="11"/>
  <c r="F206" i="19" s="1"/>
  <c r="M202" i="11"/>
  <c r="F192" i="19" s="1"/>
  <c r="M208" i="11"/>
  <c r="F198" i="19" s="1"/>
  <c r="M213" i="11"/>
  <c r="F203" i="19" s="1"/>
  <c r="M215" i="11"/>
  <c r="F205" i="19" s="1"/>
  <c r="M204" i="11"/>
  <c r="F194" i="19" s="1"/>
  <c r="M201" i="11"/>
  <c r="F191" i="19" s="1"/>
  <c r="N208" i="11"/>
  <c r="G198" i="19" s="1"/>
  <c r="O208" i="11"/>
  <c r="H198" i="19" s="1"/>
  <c r="N213" i="11"/>
  <c r="G203" i="19" s="1"/>
  <c r="O213" i="11"/>
  <c r="H203" i="19" s="1"/>
  <c r="N210" i="11"/>
  <c r="G200" i="19" s="1"/>
  <c r="O210" i="11"/>
  <c r="H200" i="19" s="1"/>
  <c r="N214" i="11"/>
  <c r="G204" i="19" s="1"/>
  <c r="O214" i="11"/>
  <c r="H204" i="19" s="1"/>
  <c r="N205" i="11"/>
  <c r="G195" i="19" s="1"/>
  <c r="O205" i="11"/>
  <c r="H195" i="19" s="1"/>
  <c r="N206" i="11"/>
  <c r="G196" i="19" s="1"/>
  <c r="O206" i="11"/>
  <c r="H196" i="19" s="1"/>
  <c r="N212" i="11"/>
  <c r="G202" i="19" s="1"/>
  <c r="O212" i="11"/>
  <c r="H202" i="19" s="1"/>
  <c r="M210" i="11"/>
  <c r="F200" i="19" s="1"/>
  <c r="M206" i="11"/>
  <c r="F196" i="19" s="1"/>
  <c r="N215" i="11"/>
  <c r="G205" i="19" s="1"/>
  <c r="O215" i="11"/>
  <c r="H205" i="19" s="1"/>
  <c r="N204" i="11"/>
  <c r="G194" i="19" s="1"/>
  <c r="O204" i="11"/>
  <c r="H194" i="19" s="1"/>
  <c r="N211" i="11"/>
  <c r="G201" i="19" s="1"/>
  <c r="O211" i="11"/>
  <c r="H201" i="19" s="1"/>
  <c r="N203" i="11"/>
  <c r="G193" i="19" s="1"/>
  <c r="O203" i="11"/>
  <c r="H193" i="19" s="1"/>
  <c r="N216" i="11"/>
  <c r="G206" i="19" s="1"/>
  <c r="O216" i="11"/>
  <c r="H206" i="19" s="1"/>
  <c r="N207" i="11"/>
  <c r="G197" i="19" s="1"/>
  <c r="O207" i="11"/>
  <c r="H197" i="19" s="1"/>
  <c r="M205" i="11"/>
  <c r="F195" i="19" s="1"/>
  <c r="M214" i="11"/>
  <c r="F204" i="19" s="1"/>
  <c r="N201" i="11"/>
  <c r="G191" i="19" s="1"/>
  <c r="O201" i="11"/>
  <c r="H191" i="19" s="1"/>
  <c r="M207" i="11"/>
  <c r="F197" i="19" s="1"/>
  <c r="N202" i="11"/>
  <c r="G192" i="19" s="1"/>
  <c r="O202" i="11"/>
  <c r="H192" i="19" s="1"/>
  <c r="M211" i="11"/>
  <c r="F201" i="19" s="1"/>
  <c r="N209" i="11"/>
  <c r="G199" i="19" s="1"/>
  <c r="O209" i="11"/>
  <c r="H199" i="19" s="1"/>
  <c r="M212" i="11"/>
  <c r="F202" i="19" s="1"/>
  <c r="M60" i="11"/>
  <c r="F50" i="19" s="1"/>
  <c r="M38" i="11"/>
  <c r="F28" i="19" s="1"/>
  <c r="M40" i="11"/>
  <c r="M104" i="11"/>
  <c r="F94" i="19" s="1"/>
  <c r="M39" i="11"/>
  <c r="F29" i="19" s="1"/>
  <c r="G11" i="19"/>
  <c r="M123" i="11"/>
  <c r="F113" i="19" s="1"/>
  <c r="M41" i="11"/>
  <c r="F31" i="19" s="1"/>
  <c r="M22" i="11"/>
  <c r="F12" i="19" s="1"/>
  <c r="M30" i="11"/>
  <c r="F20" i="19" s="1"/>
  <c r="G13" i="19"/>
  <c r="M28" i="11"/>
  <c r="F18" i="19" s="1"/>
  <c r="M23" i="11"/>
  <c r="F13" i="19" s="1"/>
  <c r="M27" i="11"/>
  <c r="F17" i="19" s="1"/>
  <c r="M111" i="11"/>
  <c r="F101" i="19" s="1"/>
  <c r="N135" i="11"/>
  <c r="G125" i="19" s="1"/>
  <c r="M165" i="11"/>
  <c r="F155" i="19" s="1"/>
  <c r="M35" i="11"/>
  <c r="F25" i="19" s="1"/>
  <c r="M25" i="11"/>
  <c r="F15" i="19" s="1"/>
  <c r="M36" i="11"/>
  <c r="F26" i="19" s="1"/>
  <c r="M78" i="11"/>
  <c r="F68" i="19" s="1"/>
  <c r="M31" i="11"/>
  <c r="F21" i="19" s="1"/>
  <c r="M37" i="11"/>
  <c r="F27" i="19" s="1"/>
  <c r="M29" i="11"/>
  <c r="F19" i="19" s="1"/>
  <c r="M24" i="11"/>
  <c r="F14" i="19" s="1"/>
  <c r="M32" i="11"/>
  <c r="F22" i="19" s="1"/>
  <c r="M26" i="11"/>
  <c r="F16" i="19" s="1"/>
  <c r="M89" i="11"/>
  <c r="F79" i="19" s="1"/>
  <c r="M34" i="11"/>
  <c r="F24" i="19" s="1"/>
  <c r="M33" i="11"/>
  <c r="F23" i="19" s="1"/>
  <c r="M46" i="11"/>
  <c r="F36" i="19" s="1"/>
  <c r="M49" i="11"/>
  <c r="F39" i="19" s="1"/>
  <c r="M47" i="11"/>
  <c r="M48" i="11"/>
  <c r="F38" i="19" s="1"/>
  <c r="M45" i="11"/>
  <c r="F35" i="19" s="1"/>
  <c r="M43" i="11"/>
  <c r="F33" i="19" s="1"/>
  <c r="M54" i="11"/>
  <c r="F44" i="19" s="1"/>
  <c r="M102" i="11"/>
  <c r="F92" i="19" s="1"/>
  <c r="M121" i="11"/>
  <c r="F111" i="19" s="1"/>
  <c r="M159" i="11"/>
  <c r="F149" i="19" s="1"/>
  <c r="M132" i="11"/>
  <c r="F122" i="19" s="1"/>
  <c r="M72" i="11"/>
  <c r="F62" i="19" s="1"/>
  <c r="M85" i="11"/>
  <c r="F75" i="19" s="1"/>
  <c r="M120" i="11"/>
  <c r="F110" i="19" s="1"/>
  <c r="M42" i="11"/>
  <c r="F32" i="19" s="1"/>
  <c r="M117" i="11"/>
  <c r="F107" i="19" s="1"/>
  <c r="M115" i="11"/>
  <c r="F105" i="19" s="1"/>
  <c r="M44" i="11"/>
  <c r="F34" i="19" s="1"/>
  <c r="M91" i="11"/>
  <c r="F81" i="19" s="1"/>
  <c r="M101" i="11"/>
  <c r="F91" i="19" s="1"/>
  <c r="M147" i="11"/>
  <c r="F137" i="19" s="1"/>
  <c r="M151" i="11"/>
  <c r="F141" i="19" s="1"/>
  <c r="M98" i="11"/>
  <c r="F88" i="19" s="1"/>
  <c r="M141" i="11"/>
  <c r="F131" i="19" s="1"/>
  <c r="M157" i="11"/>
  <c r="F147" i="19" s="1"/>
  <c r="M144" i="11"/>
  <c r="F134" i="19" s="1"/>
  <c r="M116" i="11"/>
  <c r="F106" i="19" s="1"/>
  <c r="M99" i="11"/>
  <c r="F89" i="19" s="1"/>
  <c r="M114" i="11"/>
  <c r="F104" i="19" s="1"/>
  <c r="M77" i="11"/>
  <c r="F67" i="19" s="1"/>
  <c r="M71" i="11"/>
  <c r="F61" i="19" s="1"/>
  <c r="M145" i="11"/>
  <c r="F135" i="19" s="1"/>
  <c r="M79" i="11"/>
  <c r="F69" i="19" s="1"/>
  <c r="M172" i="11"/>
  <c r="F162" i="19" s="1"/>
  <c r="M95" i="11"/>
  <c r="F85" i="19" s="1"/>
  <c r="M76" i="11"/>
  <c r="F66" i="19" s="1"/>
  <c r="M113" i="11"/>
  <c r="F103" i="19" s="1"/>
  <c r="M83" i="11"/>
  <c r="F73" i="19" s="1"/>
  <c r="M169" i="11"/>
  <c r="F159" i="19" s="1"/>
  <c r="M75" i="11"/>
  <c r="F65" i="19" s="1"/>
  <c r="M122" i="11"/>
  <c r="F112" i="19" s="1"/>
  <c r="M150" i="11"/>
  <c r="F140" i="19" s="1"/>
  <c r="N134" i="11"/>
  <c r="G124" i="19" s="1"/>
  <c r="M158" i="11"/>
  <c r="F148" i="19" s="1"/>
  <c r="M103" i="11"/>
  <c r="F93" i="19" s="1"/>
  <c r="M168" i="11"/>
  <c r="F158" i="19" s="1"/>
  <c r="M53" i="11"/>
  <c r="F43" i="19" s="1"/>
  <c r="M131" i="11"/>
  <c r="F121" i="19" s="1"/>
  <c r="M58" i="11"/>
  <c r="F48" i="19" s="1"/>
  <c r="M87" i="11"/>
  <c r="F77" i="19" s="1"/>
  <c r="M171" i="11"/>
  <c r="F161" i="19" s="1"/>
  <c r="M110" i="11"/>
  <c r="F100" i="19" s="1"/>
  <c r="M63" i="11"/>
  <c r="F53" i="19" s="1"/>
  <c r="M146" i="11"/>
  <c r="F136" i="19" s="1"/>
  <c r="M74" i="11"/>
  <c r="F64" i="19" s="1"/>
  <c r="M55" i="11"/>
  <c r="F45" i="19" s="1"/>
  <c r="M148" i="11"/>
  <c r="F138" i="19" s="1"/>
  <c r="M153" i="11"/>
  <c r="F143" i="19" s="1"/>
  <c r="M149" i="11"/>
  <c r="F139" i="19" s="1"/>
  <c r="M164" i="11"/>
  <c r="F154" i="19" s="1"/>
  <c r="M137" i="11"/>
  <c r="F127" i="19" s="1"/>
  <c r="M128" i="11"/>
  <c r="F118" i="19" s="1"/>
  <c r="M143" i="11"/>
  <c r="F133" i="19" s="1"/>
  <c r="M154" i="11"/>
  <c r="F144" i="19" s="1"/>
  <c r="M105" i="11"/>
  <c r="F95" i="19" s="1"/>
  <c r="M65" i="11"/>
  <c r="F55" i="19" s="1"/>
  <c r="M57" i="11"/>
  <c r="F47" i="19" s="1"/>
  <c r="M173" i="11"/>
  <c r="F163" i="19" s="1"/>
  <c r="M139" i="11"/>
  <c r="F129" i="19" s="1"/>
  <c r="M90" i="11"/>
  <c r="F80" i="19" s="1"/>
  <c r="M62" i="11"/>
  <c r="F52" i="19" s="1"/>
  <c r="M51" i="11"/>
  <c r="F41" i="19" s="1"/>
  <c r="M59" i="11"/>
  <c r="F49" i="19" s="1"/>
  <c r="M142" i="11"/>
  <c r="F132" i="19" s="1"/>
  <c r="M81" i="11"/>
  <c r="F71" i="19" s="1"/>
  <c r="M125" i="11"/>
  <c r="F115" i="19" s="1"/>
  <c r="M170" i="11"/>
  <c r="F160" i="19" s="1"/>
  <c r="M161" i="11"/>
  <c r="F151" i="19" s="1"/>
  <c r="M80" i="11"/>
  <c r="F70" i="19" s="1"/>
  <c r="M97" i="11"/>
  <c r="F87" i="19" s="1"/>
  <c r="M106" i="11"/>
  <c r="F96" i="19" s="1"/>
  <c r="M56" i="11"/>
  <c r="F46" i="19" s="1"/>
  <c r="M155" i="11"/>
  <c r="F145" i="19" s="1"/>
  <c r="M124" i="11"/>
  <c r="F114" i="19" s="1"/>
  <c r="M160" i="11"/>
  <c r="F150" i="19" s="1"/>
  <c r="M152" i="11"/>
  <c r="F142" i="19" s="1"/>
  <c r="M130" i="11"/>
  <c r="F120" i="19" s="1"/>
  <c r="M162" i="11"/>
  <c r="F152" i="19" s="1"/>
  <c r="M133" i="11"/>
  <c r="F123" i="19" s="1"/>
  <c r="M175" i="11"/>
  <c r="F165" i="19" s="1"/>
  <c r="M73" i="11"/>
  <c r="F63" i="19" s="1"/>
  <c r="M108" i="11"/>
  <c r="F98" i="19" s="1"/>
  <c r="M70" i="11"/>
  <c r="F60" i="19" s="1"/>
  <c r="M68" i="11"/>
  <c r="F58" i="19" s="1"/>
  <c r="M126" i="11"/>
  <c r="F116" i="19" s="1"/>
  <c r="M129" i="11"/>
  <c r="F119" i="19" s="1"/>
  <c r="M127" i="11"/>
  <c r="F117" i="19" s="1"/>
  <c r="M61" i="11"/>
  <c r="F51" i="19" s="1"/>
  <c r="M107" i="11"/>
  <c r="F97" i="19" s="1"/>
  <c r="M93" i="11"/>
  <c r="F83" i="19" s="1"/>
  <c r="M50" i="11"/>
  <c r="F40" i="19" s="1"/>
  <c r="M94" i="11"/>
  <c r="F84" i="19" s="1"/>
  <c r="M96" i="11"/>
  <c r="F86" i="19" s="1"/>
  <c r="M109" i="11"/>
  <c r="F99" i="19" s="1"/>
  <c r="M52" i="11"/>
  <c r="F42" i="19" s="1"/>
  <c r="M140" i="11"/>
  <c r="F130" i="19" s="1"/>
  <c r="M136" i="11"/>
  <c r="F126" i="19" s="1"/>
  <c r="M119" i="11"/>
  <c r="F109" i="19" s="1"/>
  <c r="M66" i="11"/>
  <c r="F56" i="19" s="1"/>
  <c r="M163" i="11"/>
  <c r="F153" i="19" s="1"/>
  <c r="M174" i="11"/>
  <c r="F164" i="19" s="1"/>
  <c r="M156" i="11"/>
  <c r="F146" i="19" s="1"/>
  <c r="M118" i="11"/>
  <c r="F108" i="19" s="1"/>
  <c r="M112" i="11"/>
  <c r="F102" i="19" s="1"/>
  <c r="M138" i="11"/>
  <c r="F128" i="19" s="1"/>
  <c r="M88" i="11"/>
  <c r="F78" i="19" s="1"/>
  <c r="M67" i="11"/>
  <c r="F57" i="19" s="1"/>
  <c r="M82" i="11"/>
  <c r="F72" i="19" s="1"/>
  <c r="M92" i="11"/>
  <c r="F82" i="19" s="1"/>
  <c r="M69" i="11"/>
  <c r="F59" i="19" s="1"/>
  <c r="M64" i="11"/>
  <c r="F54" i="19" s="1"/>
  <c r="M100" i="11"/>
  <c r="F90" i="19" s="1"/>
  <c r="M167" i="11"/>
  <c r="F157" i="19" s="1"/>
  <c r="M166" i="11"/>
  <c r="F156" i="19" s="1"/>
  <c r="M84" i="11"/>
  <c r="F74" i="19" s="1"/>
  <c r="M86" i="11"/>
  <c r="F76" i="19" s="1"/>
  <c r="M134" i="11"/>
  <c r="F124" i="19" s="1"/>
  <c r="M135" i="11"/>
  <c r="F125" i="19" s="1"/>
  <c r="O34" i="11"/>
  <c r="H24" i="19" s="1"/>
  <c r="O117" i="11"/>
  <c r="H107" i="19" s="1"/>
  <c r="O116" i="11"/>
  <c r="H106" i="19" s="1"/>
  <c r="O128" i="11"/>
  <c r="H118" i="19" s="1"/>
  <c r="O129" i="11"/>
  <c r="H119" i="19" s="1"/>
  <c r="O126" i="11"/>
  <c r="H116" i="19" s="1"/>
  <c r="O91" i="11"/>
  <c r="H81" i="19" s="1"/>
  <c r="O81" i="11"/>
  <c r="H71" i="19" s="1"/>
  <c r="O35" i="11"/>
  <c r="H25" i="19" s="1"/>
  <c r="O120" i="11"/>
  <c r="H110" i="19" s="1"/>
  <c r="O44" i="11"/>
  <c r="H34" i="19" s="1"/>
  <c r="O30" i="11"/>
  <c r="H20" i="19" s="1"/>
  <c r="O174" i="11"/>
  <c r="H164" i="19" s="1"/>
  <c r="O191" i="11"/>
  <c r="H181" i="19" s="1"/>
  <c r="O147" i="11"/>
  <c r="H137" i="19" s="1"/>
  <c r="O79" i="11"/>
  <c r="H69" i="19" s="1"/>
  <c r="O45" i="11"/>
  <c r="H35" i="19" s="1"/>
  <c r="O113" i="11"/>
  <c r="H103" i="19" s="1"/>
  <c r="O50" i="11"/>
  <c r="H40" i="19" s="1"/>
  <c r="O22" i="11"/>
  <c r="H12" i="19" s="1"/>
  <c r="O24" i="11"/>
  <c r="H14" i="19" s="1"/>
  <c r="O57" i="11"/>
  <c r="H47" i="19" s="1"/>
  <c r="O154" i="11"/>
  <c r="H144" i="19" s="1"/>
  <c r="O153" i="11"/>
  <c r="H143" i="19" s="1"/>
  <c r="O167" i="11"/>
  <c r="H157" i="19" s="1"/>
  <c r="O130" i="11"/>
  <c r="H120" i="19" s="1"/>
  <c r="O195" i="11"/>
  <c r="H185" i="19" s="1"/>
  <c r="O54" i="11"/>
  <c r="H44" i="19" s="1"/>
  <c r="O137" i="11"/>
  <c r="H127" i="19" s="1"/>
  <c r="O180" i="11"/>
  <c r="H170" i="19" s="1"/>
  <c r="O185" i="11"/>
  <c r="H175" i="19" s="1"/>
  <c r="O43" i="11"/>
  <c r="H33" i="19" s="1"/>
  <c r="O37" i="11"/>
  <c r="H27" i="19" s="1"/>
  <c r="O33" i="11"/>
  <c r="H23" i="19" s="1"/>
  <c r="O67" i="11"/>
  <c r="H57" i="19" s="1"/>
  <c r="O169" i="11"/>
  <c r="H159" i="19" s="1"/>
  <c r="N168" i="11"/>
  <c r="G158" i="19" s="1"/>
  <c r="O196" i="11"/>
  <c r="H186" i="19" s="1"/>
  <c r="O166" i="11"/>
  <c r="H156" i="19" s="1"/>
  <c r="O176" i="11"/>
  <c r="H166" i="19" s="1"/>
  <c r="O112" i="11"/>
  <c r="H102" i="19" s="1"/>
  <c r="O47" i="11"/>
  <c r="O93" i="11"/>
  <c r="H83" i="19" s="1"/>
  <c r="O131" i="11"/>
  <c r="H121" i="19" s="1"/>
  <c r="O36" i="11"/>
  <c r="H26" i="19" s="1"/>
  <c r="O114" i="11"/>
  <c r="H104" i="19" s="1"/>
  <c r="O133" i="11"/>
  <c r="H123" i="19" s="1"/>
  <c r="O157" i="11"/>
  <c r="H147" i="19" s="1"/>
  <c r="O142" i="11"/>
  <c r="H132" i="19" s="1"/>
  <c r="O32" i="11"/>
  <c r="H22" i="19" s="1"/>
  <c r="O78" i="11"/>
  <c r="H68" i="19" s="1"/>
  <c r="O69" i="11"/>
  <c r="H59" i="19" s="1"/>
  <c r="O73" i="11"/>
  <c r="H63" i="19" s="1"/>
  <c r="O77" i="11"/>
  <c r="H67" i="19" s="1"/>
  <c r="O90" i="11"/>
  <c r="H80" i="19" s="1"/>
  <c r="O29" i="11"/>
  <c r="H19" i="19" s="1"/>
  <c r="O94" i="11"/>
  <c r="H84" i="19" s="1"/>
  <c r="O97" i="11"/>
  <c r="H87" i="19" s="1"/>
  <c r="O38" i="11"/>
  <c r="H28" i="19" s="1"/>
  <c r="O84" i="11"/>
  <c r="H74" i="19" s="1"/>
  <c r="O41" i="11"/>
  <c r="H31" i="19" s="1"/>
  <c r="O23" i="11"/>
  <c r="H13" i="19" s="1"/>
  <c r="O119" i="11"/>
  <c r="H109" i="19" s="1"/>
  <c r="O110" i="11"/>
  <c r="H100" i="19" s="1"/>
  <c r="O103" i="11"/>
  <c r="H93" i="19" s="1"/>
  <c r="O136" i="11"/>
  <c r="H126" i="19" s="1"/>
  <c r="O177" i="11"/>
  <c r="H167" i="19" s="1"/>
  <c r="O165" i="11"/>
  <c r="H155" i="19" s="1"/>
  <c r="O164" i="11"/>
  <c r="H154" i="19" s="1"/>
  <c r="O100" i="11"/>
  <c r="H90" i="19" s="1"/>
  <c r="O25" i="11"/>
  <c r="H15" i="19" s="1"/>
  <c r="O26" i="11"/>
  <c r="H16" i="19" s="1"/>
  <c r="O53" i="11"/>
  <c r="H43" i="19" s="1"/>
  <c r="O82" i="11"/>
  <c r="H72" i="19" s="1"/>
  <c r="O66" i="11"/>
  <c r="H56" i="19" s="1"/>
  <c r="O83" i="11"/>
  <c r="H73" i="19" s="1"/>
  <c r="O68" i="11"/>
  <c r="H58" i="19" s="1"/>
  <c r="O61" i="11"/>
  <c r="H51" i="19" s="1"/>
  <c r="O111" i="11"/>
  <c r="H101" i="19" s="1"/>
  <c r="O194" i="11"/>
  <c r="H184" i="19" s="1"/>
  <c r="O138" i="11"/>
  <c r="H128" i="19" s="1"/>
  <c r="O140" i="11"/>
  <c r="H130" i="19" s="1"/>
  <c r="O152" i="11"/>
  <c r="H142" i="19" s="1"/>
  <c r="O193" i="11"/>
  <c r="H183" i="19" s="1"/>
  <c r="O143" i="11"/>
  <c r="H133" i="19" s="1"/>
  <c r="O158" i="11"/>
  <c r="H148" i="19" s="1"/>
  <c r="O145" i="11"/>
  <c r="H135" i="19" s="1"/>
  <c r="O179" i="11"/>
  <c r="H169" i="19" s="1"/>
  <c r="O170" i="11"/>
  <c r="H160" i="19" s="1"/>
  <c r="O199" i="11"/>
  <c r="H189" i="19" s="1"/>
  <c r="O198" i="11"/>
  <c r="H188" i="19" s="1"/>
  <c r="O168" i="11"/>
  <c r="H158" i="19" s="1"/>
  <c r="O71" i="11"/>
  <c r="H61" i="19" s="1"/>
  <c r="O125" i="11"/>
  <c r="H115" i="19" s="1"/>
  <c r="O182" i="11"/>
  <c r="H172" i="19" s="1"/>
  <c r="O156" i="11"/>
  <c r="H146" i="19" s="1"/>
  <c r="O85" i="11"/>
  <c r="H75" i="19" s="1"/>
  <c r="O63" i="11"/>
  <c r="H53" i="19" s="1"/>
  <c r="O42" i="11"/>
  <c r="H32" i="19" s="1"/>
  <c r="O181" i="11"/>
  <c r="H171" i="19" s="1"/>
  <c r="O190" i="11"/>
  <c r="H180" i="19" s="1"/>
  <c r="O192" i="11"/>
  <c r="H182" i="19" s="1"/>
  <c r="O150" i="11"/>
  <c r="H140" i="19" s="1"/>
  <c r="O188" i="11"/>
  <c r="H178" i="19" s="1"/>
  <c r="O87" i="11"/>
  <c r="H77" i="19" s="1"/>
  <c r="O148" i="11"/>
  <c r="H138" i="19" s="1"/>
  <c r="O171" i="11"/>
  <c r="H161" i="19" s="1"/>
  <c r="O49" i="11"/>
  <c r="H39" i="19" s="1"/>
  <c r="O106" i="11"/>
  <c r="H96" i="19" s="1"/>
  <c r="O173" i="11"/>
  <c r="H163" i="19" s="1"/>
  <c r="O149" i="11"/>
  <c r="H139" i="19" s="1"/>
  <c r="O56" i="11"/>
  <c r="H46" i="19" s="1"/>
  <c r="O115" i="11"/>
  <c r="H105" i="19" s="1"/>
  <c r="O74" i="11"/>
  <c r="H64" i="19" s="1"/>
  <c r="O107" i="11"/>
  <c r="H97" i="19" s="1"/>
  <c r="O89" i="11"/>
  <c r="H79" i="19" s="1"/>
  <c r="O98" i="11"/>
  <c r="H88" i="19" s="1"/>
  <c r="O55" i="11"/>
  <c r="H45" i="19" s="1"/>
  <c r="O31" i="11"/>
  <c r="H21" i="19" s="1"/>
  <c r="O72" i="11"/>
  <c r="H62" i="19" s="1"/>
  <c r="O105" i="11"/>
  <c r="H95" i="19" s="1"/>
  <c r="O95" i="11"/>
  <c r="H85" i="19" s="1"/>
  <c r="O124" i="11"/>
  <c r="H114" i="19" s="1"/>
  <c r="O88" i="11"/>
  <c r="H78" i="19" s="1"/>
  <c r="O121" i="11"/>
  <c r="H111" i="19" s="1"/>
  <c r="O134" i="11"/>
  <c r="H124" i="19" s="1"/>
  <c r="O184" i="11"/>
  <c r="H174" i="19" s="1"/>
  <c r="O186" i="11"/>
  <c r="H176" i="19" s="1"/>
  <c r="O141" i="11"/>
  <c r="H131" i="19" s="1"/>
  <c r="O189" i="11"/>
  <c r="H179" i="19" s="1"/>
  <c r="O183" i="11"/>
  <c r="H173" i="19" s="1"/>
  <c r="O172" i="11"/>
  <c r="H162" i="19" s="1"/>
  <c r="O175" i="11"/>
  <c r="H165" i="19" s="1"/>
  <c r="O132" i="11"/>
  <c r="H122" i="19" s="1"/>
  <c r="O151" i="11"/>
  <c r="H141" i="19" s="1"/>
  <c r="O86" i="11"/>
  <c r="H76" i="19" s="1"/>
  <c r="O200" i="11"/>
  <c r="H190" i="19" s="1"/>
  <c r="O96" i="11"/>
  <c r="H86" i="19" s="1"/>
  <c r="O76" i="11"/>
  <c r="H66" i="19" s="1"/>
  <c r="O27" i="11"/>
  <c r="H17" i="19" s="1"/>
  <c r="O40" i="11"/>
  <c r="O48" i="11"/>
  <c r="H38" i="19" s="1"/>
  <c r="O92" i="11"/>
  <c r="H82" i="19" s="1"/>
  <c r="O28" i="11"/>
  <c r="H18" i="19" s="1"/>
  <c r="O118" i="11"/>
  <c r="H108" i="19" s="1"/>
  <c r="O109" i="11"/>
  <c r="H99" i="19" s="1"/>
  <c r="O46" i="11"/>
  <c r="H36" i="19" s="1"/>
  <c r="O52" i="11"/>
  <c r="H42" i="19" s="1"/>
  <c r="O99" i="11"/>
  <c r="H89" i="19" s="1"/>
  <c r="O80" i="11"/>
  <c r="H70" i="19" s="1"/>
  <c r="O39" i="11"/>
  <c r="H29" i="19" s="1"/>
  <c r="O122" i="11"/>
  <c r="H112" i="19" s="1"/>
  <c r="O127" i="11"/>
  <c r="H117" i="19" s="1"/>
  <c r="O144" i="11"/>
  <c r="H134" i="19" s="1"/>
  <c r="O178" i="11"/>
  <c r="H168" i="19" s="1"/>
  <c r="O163" i="11"/>
  <c r="H153" i="19" s="1"/>
  <c r="O135" i="11"/>
  <c r="H125" i="19" s="1"/>
  <c r="O146" i="11"/>
  <c r="H136" i="19" s="1"/>
  <c r="O161" i="11"/>
  <c r="H151" i="19" s="1"/>
  <c r="O197" i="11"/>
  <c r="H187" i="19" s="1"/>
  <c r="O187" i="11"/>
  <c r="H177" i="19" s="1"/>
  <c r="O155" i="11"/>
  <c r="H145" i="19" s="1"/>
  <c r="O162" i="11"/>
  <c r="H152" i="19" s="1"/>
  <c r="O159" i="11"/>
  <c r="H149" i="19" s="1"/>
  <c r="O139" i="11"/>
  <c r="H129" i="19" s="1"/>
  <c r="O123" i="11"/>
  <c r="H113" i="19" s="1"/>
  <c r="O75" i="11"/>
  <c r="H65" i="19" s="1"/>
  <c r="O62" i="11"/>
  <c r="H52" i="19" s="1"/>
  <c r="O59" i="11"/>
  <c r="H49" i="19" s="1"/>
  <c r="O60" i="11"/>
  <c r="H50" i="19" s="1"/>
  <c r="O58" i="11"/>
  <c r="H48" i="19" s="1"/>
  <c r="O51" i="11"/>
  <c r="H41" i="19" s="1"/>
  <c r="O108" i="11"/>
  <c r="H98" i="19" s="1"/>
  <c r="O104" i="11"/>
  <c r="H94" i="19" s="1"/>
  <c r="O102" i="11"/>
  <c r="H92" i="19" s="1"/>
  <c r="O101" i="11"/>
  <c r="H91" i="19" s="1"/>
  <c r="O160" i="11"/>
  <c r="H150" i="19" s="1"/>
  <c r="O70" i="11"/>
  <c r="H60" i="19" s="1"/>
  <c r="O64" i="11"/>
  <c r="H54" i="19" s="1"/>
  <c r="O65" i="11"/>
  <c r="H55" i="19" s="1"/>
  <c r="N173" i="11"/>
  <c r="G163" i="19" s="1"/>
  <c r="M194" i="11"/>
  <c r="F184" i="19" s="1"/>
  <c r="M191" i="11"/>
  <c r="F181" i="19" s="1"/>
  <c r="M182" i="11"/>
  <c r="F172" i="19" s="1"/>
  <c r="N183" i="11"/>
  <c r="G173" i="19" s="1"/>
  <c r="N184" i="11"/>
  <c r="G174" i="19" s="1"/>
  <c r="N147" i="11"/>
  <c r="G137" i="19" s="1"/>
  <c r="M185" i="11"/>
  <c r="F175" i="19" s="1"/>
  <c r="N156" i="11"/>
  <c r="G146" i="19" s="1"/>
  <c r="M184" i="11"/>
  <c r="F174" i="19" s="1"/>
  <c r="M192" i="11"/>
  <c r="F182" i="19" s="1"/>
  <c r="N131" i="11"/>
  <c r="G121" i="19" s="1"/>
  <c r="M181" i="11"/>
  <c r="F171" i="19" s="1"/>
  <c r="N169" i="11"/>
  <c r="G159" i="19" s="1"/>
  <c r="N172" i="11"/>
  <c r="G162" i="19" s="1"/>
  <c r="N166" i="11"/>
  <c r="G156" i="19" s="1"/>
  <c r="N191" i="11"/>
  <c r="G181" i="19" s="1"/>
  <c r="M186" i="11"/>
  <c r="F176" i="19" s="1"/>
  <c r="N176" i="11"/>
  <c r="G166" i="19" s="1"/>
  <c r="N171" i="11"/>
  <c r="G161" i="19" s="1"/>
  <c r="N174" i="11"/>
  <c r="G164" i="19" s="1"/>
  <c r="N149" i="11"/>
  <c r="G139" i="19" s="1"/>
  <c r="N141" i="11"/>
  <c r="G131" i="19" s="1"/>
  <c r="M195" i="11"/>
  <c r="F185" i="19" s="1"/>
  <c r="N175" i="11"/>
  <c r="G165" i="19" s="1"/>
  <c r="M193" i="11"/>
  <c r="F183" i="19" s="1"/>
  <c r="M199" i="11"/>
  <c r="F189" i="19" s="1"/>
  <c r="N157" i="11"/>
  <c r="G147" i="19" s="1"/>
  <c r="M179" i="11"/>
  <c r="F169" i="19" s="1"/>
  <c r="M180" i="11"/>
  <c r="F170" i="19" s="1"/>
  <c r="M198" i="11"/>
  <c r="F188" i="19" s="1"/>
  <c r="N177" i="11"/>
  <c r="G167" i="19" s="1"/>
  <c r="N165" i="11"/>
  <c r="G155" i="19" s="1"/>
  <c r="N154" i="11"/>
  <c r="G144" i="19" s="1"/>
  <c r="N148" i="11"/>
  <c r="G138" i="19" s="1"/>
  <c r="N186" i="11"/>
  <c r="G176" i="19" s="1"/>
  <c r="N138" i="11"/>
  <c r="G128" i="19" s="1"/>
  <c r="N150" i="11"/>
  <c r="G140" i="19" s="1"/>
  <c r="N136" i="11"/>
  <c r="G126" i="19" s="1"/>
  <c r="N196" i="11"/>
  <c r="G186" i="19" s="1"/>
  <c r="N139" i="11"/>
  <c r="G129" i="19" s="1"/>
  <c r="N160" i="11"/>
  <c r="G150" i="19" s="1"/>
  <c r="N190" i="11"/>
  <c r="G180" i="19" s="1"/>
  <c r="N130" i="11"/>
  <c r="G120" i="19" s="1"/>
  <c r="N200" i="11"/>
  <c r="G190" i="19" s="1"/>
  <c r="M177" i="11"/>
  <c r="F167" i="19" s="1"/>
  <c r="N189" i="11"/>
  <c r="G179" i="19" s="1"/>
  <c r="N178" i="11"/>
  <c r="G168" i="19" s="1"/>
  <c r="N167" i="11"/>
  <c r="G157" i="19" s="1"/>
  <c r="N185" i="11"/>
  <c r="G175" i="19" s="1"/>
  <c r="N145" i="11"/>
  <c r="G135" i="19" s="1"/>
  <c r="N181" i="11"/>
  <c r="G171" i="19" s="1"/>
  <c r="N153" i="11"/>
  <c r="G143" i="19" s="1"/>
  <c r="M178" i="11"/>
  <c r="F168" i="19" s="1"/>
  <c r="M190" i="11"/>
  <c r="F180" i="19" s="1"/>
  <c r="N161" i="11"/>
  <c r="G151" i="19" s="1"/>
  <c r="M197" i="11"/>
  <c r="F187" i="19" s="1"/>
  <c r="N158" i="11"/>
  <c r="G148" i="19" s="1"/>
  <c r="N159" i="11"/>
  <c r="G149" i="19" s="1"/>
  <c r="N143" i="11"/>
  <c r="G133" i="19" s="1"/>
  <c r="N129" i="11"/>
  <c r="G119" i="19" s="1"/>
  <c r="N180" i="11"/>
  <c r="G170" i="19" s="1"/>
  <c r="N140" i="11"/>
  <c r="G130" i="19" s="1"/>
  <c r="N193" i="11"/>
  <c r="G183" i="19" s="1"/>
  <c r="N192" i="11"/>
  <c r="G182" i="19" s="1"/>
  <c r="N197" i="11"/>
  <c r="G187" i="19" s="1"/>
  <c r="N199" i="11"/>
  <c r="G189" i="19" s="1"/>
  <c r="N137" i="11"/>
  <c r="G127" i="19" s="1"/>
  <c r="M200" i="11"/>
  <c r="F190" i="19" s="1"/>
  <c r="N194" i="11"/>
  <c r="G184" i="19" s="1"/>
  <c r="N163" i="11"/>
  <c r="G153" i="19" s="1"/>
  <c r="N182" i="11"/>
  <c r="G172" i="19" s="1"/>
  <c r="M189" i="11"/>
  <c r="F179" i="19" s="1"/>
  <c r="M183" i="11"/>
  <c r="F173" i="19" s="1"/>
  <c r="M187" i="11"/>
  <c r="F177" i="19" s="1"/>
  <c r="N179" i="11"/>
  <c r="G169" i="19" s="1"/>
  <c r="N162" i="11"/>
  <c r="G152" i="19" s="1"/>
  <c r="N188" i="11"/>
  <c r="G178" i="19" s="1"/>
  <c r="N164" i="11"/>
  <c r="G154" i="19" s="1"/>
  <c r="N155" i="11"/>
  <c r="G145" i="19" s="1"/>
  <c r="N151" i="11"/>
  <c r="G141" i="19" s="1"/>
  <c r="N133" i="11"/>
  <c r="G123" i="19" s="1"/>
  <c r="N152" i="11"/>
  <c r="G142" i="19" s="1"/>
  <c r="N146" i="11"/>
  <c r="G136" i="19" s="1"/>
  <c r="N187" i="11"/>
  <c r="G177" i="19" s="1"/>
  <c r="N142" i="11"/>
  <c r="G132" i="19" s="1"/>
  <c r="N170" i="11"/>
  <c r="G160" i="19" s="1"/>
  <c r="N198" i="11"/>
  <c r="G188" i="19" s="1"/>
  <c r="M188" i="11"/>
  <c r="F178" i="19" s="1"/>
  <c r="N195" i="11"/>
  <c r="G185" i="19" s="1"/>
  <c r="N132" i="11"/>
  <c r="G122" i="19" s="1"/>
  <c r="M176" i="11"/>
  <c r="F166" i="19" s="1"/>
  <c r="M196" i="11"/>
  <c r="F186" i="19" s="1"/>
  <c r="N144" i="11"/>
  <c r="G134" i="19" s="1"/>
  <c r="N100" i="11"/>
  <c r="G90" i="19" s="1"/>
  <c r="N99" i="11"/>
  <c r="G89" i="19" s="1"/>
  <c r="N108" i="11"/>
  <c r="G98" i="19" s="1"/>
  <c r="N113" i="11"/>
  <c r="G103" i="19" s="1"/>
  <c r="N111" i="11"/>
  <c r="G101" i="19" s="1"/>
  <c r="N116" i="11"/>
  <c r="G106" i="19" s="1"/>
  <c r="N127" i="11"/>
  <c r="G117" i="19" s="1"/>
  <c r="N117" i="11"/>
  <c r="G107" i="19" s="1"/>
  <c r="N102" i="11"/>
  <c r="G92" i="19" s="1"/>
  <c r="N115" i="11"/>
  <c r="G105" i="19" s="1"/>
  <c r="N123" i="11"/>
  <c r="G113" i="19" s="1"/>
  <c r="N125" i="11"/>
  <c r="G115" i="19" s="1"/>
  <c r="N119" i="11"/>
  <c r="G109" i="19" s="1"/>
  <c r="N118" i="11"/>
  <c r="G108" i="19" s="1"/>
  <c r="N101" i="11"/>
  <c r="G91" i="19" s="1"/>
  <c r="N126" i="11"/>
  <c r="G116" i="19" s="1"/>
  <c r="N109" i="11"/>
  <c r="G99" i="19" s="1"/>
  <c r="N106" i="11"/>
  <c r="G96" i="19" s="1"/>
  <c r="N103" i="11"/>
  <c r="G93" i="19" s="1"/>
  <c r="N122" i="11"/>
  <c r="G112" i="19" s="1"/>
  <c r="N107" i="11"/>
  <c r="G97" i="19" s="1"/>
  <c r="N124" i="11"/>
  <c r="G114" i="19" s="1"/>
  <c r="N121" i="11"/>
  <c r="G111" i="19" s="1"/>
  <c r="N128" i="11"/>
  <c r="G118" i="19" s="1"/>
  <c r="N120" i="11"/>
  <c r="G110" i="19" s="1"/>
  <c r="N114" i="11"/>
  <c r="G104" i="19" s="1"/>
  <c r="N104" i="11"/>
  <c r="G94" i="19" s="1"/>
  <c r="N110" i="11"/>
  <c r="G100" i="19" s="1"/>
  <c r="N112" i="11"/>
  <c r="G102" i="19" s="1"/>
  <c r="N105" i="11"/>
  <c r="G95" i="19" s="1"/>
  <c r="N65" i="11"/>
  <c r="G55" i="19" s="1"/>
  <c r="N50" i="11"/>
  <c r="G40" i="19" s="1"/>
  <c r="N48" i="11"/>
  <c r="G38" i="19" s="1"/>
  <c r="N49" i="11"/>
  <c r="G39" i="19" s="1"/>
  <c r="N82" i="11"/>
  <c r="G72" i="19" s="1"/>
  <c r="N80" i="11"/>
  <c r="G70" i="19" s="1"/>
  <c r="G60" i="19"/>
  <c r="G22" i="19"/>
  <c r="N73" i="11"/>
  <c r="G63" i="19" s="1"/>
  <c r="N64" i="11"/>
  <c r="G54" i="19" s="1"/>
  <c r="N74" i="11"/>
  <c r="G64" i="19" s="1"/>
  <c r="N57" i="11"/>
  <c r="G47" i="19" s="1"/>
  <c r="N58" i="11"/>
  <c r="G48" i="19" s="1"/>
  <c r="N59" i="11"/>
  <c r="G49" i="19" s="1"/>
  <c r="N53" i="11"/>
  <c r="G43" i="19" s="1"/>
  <c r="N39" i="11"/>
  <c r="G29" i="19" s="1"/>
  <c r="N91" i="11"/>
  <c r="G81" i="19" s="1"/>
  <c r="N78" i="11"/>
  <c r="G68" i="19" s="1"/>
  <c r="G59" i="19"/>
  <c r="M21" i="11"/>
  <c r="F11" i="19" s="1"/>
  <c r="N66" i="11"/>
  <c r="G56" i="19" s="1"/>
  <c r="N72" i="11"/>
  <c r="G62" i="19" s="1"/>
  <c r="N56" i="11"/>
  <c r="G46" i="19" s="1"/>
  <c r="N81" i="11"/>
  <c r="G71" i="19" s="1"/>
  <c r="N85" i="11"/>
  <c r="G75" i="19" s="1"/>
  <c r="N90" i="11"/>
  <c r="G80" i="19" s="1"/>
  <c r="N38" i="11"/>
  <c r="G28" i="19" s="1"/>
  <c r="O21" i="11"/>
  <c r="H11" i="19" s="1"/>
  <c r="N68" i="11"/>
  <c r="G58" i="19" s="1"/>
  <c r="N71" i="11"/>
  <c r="G61" i="19" s="1"/>
  <c r="N67" i="11"/>
  <c r="G57" i="19" s="1"/>
  <c r="N61" i="11"/>
  <c r="G51" i="19" s="1"/>
  <c r="N77" i="11"/>
  <c r="G67" i="19" s="1"/>
  <c r="N97" i="11"/>
  <c r="G87" i="19" s="1"/>
  <c r="N44" i="11"/>
  <c r="G34" i="19" s="1"/>
  <c r="N41" i="11"/>
  <c r="G31" i="19" s="1"/>
  <c r="N60" i="11"/>
  <c r="G50" i="19" s="1"/>
  <c r="N98" i="11"/>
  <c r="G88" i="19" s="1"/>
  <c r="N76" i="11"/>
  <c r="G66" i="19" s="1"/>
  <c r="N96" i="11"/>
  <c r="G86" i="19" s="1"/>
  <c r="N75" i="11"/>
  <c r="G65" i="19" s="1"/>
  <c r="G18" i="19"/>
  <c r="N37" i="11"/>
  <c r="G27" i="19" s="1"/>
  <c r="N83" i="11"/>
  <c r="G73" i="19" s="1"/>
  <c r="N93" i="11"/>
  <c r="G83" i="19" s="1"/>
  <c r="N95" i="11"/>
  <c r="G85" i="19" s="1"/>
  <c r="N94" i="11"/>
  <c r="G84" i="19" s="1"/>
  <c r="N92" i="11"/>
  <c r="G82" i="19" s="1"/>
  <c r="G26" i="19"/>
  <c r="N42" i="11"/>
  <c r="G32" i="19" s="1"/>
  <c r="N63" i="11"/>
  <c r="G53" i="19" s="1"/>
  <c r="N45" i="11"/>
  <c r="G35" i="19" s="1"/>
  <c r="N55" i="11"/>
  <c r="G45" i="19" s="1"/>
  <c r="N89" i="11"/>
  <c r="G79" i="19" s="1"/>
  <c r="N79" i="11"/>
  <c r="G69" i="19" s="1"/>
  <c r="N86" i="11"/>
  <c r="G76" i="19" s="1"/>
  <c r="N52" i="11"/>
  <c r="G42" i="19" s="1"/>
  <c r="N51" i="11"/>
  <c r="G41" i="19" s="1"/>
  <c r="N62" i="11"/>
  <c r="G52" i="19" s="1"/>
  <c r="N84" i="11"/>
  <c r="G74" i="19" s="1"/>
  <c r="N87" i="11"/>
  <c r="G77" i="19" s="1"/>
  <c r="N88" i="11"/>
  <c r="G78" i="19" s="1"/>
  <c r="N43" i="11"/>
  <c r="G33" i="19" s="1"/>
  <c r="N54" i="11"/>
  <c r="G44" i="19" s="1"/>
  <c r="N46" i="11"/>
  <c r="G36" i="19" s="1"/>
  <c r="H30" i="19" l="1"/>
  <c r="N40" i="11"/>
  <c r="G30" i="19" s="1"/>
  <c r="F30" i="19"/>
  <c r="F37" i="19"/>
  <c r="N47" i="11"/>
  <c r="G37" i="19" s="1"/>
  <c r="H37" i="1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<sst xmlns="http://schemas.openxmlformats.org/spreadsheetml/2006/main" count="2212" uniqueCount="981">
  <si>
    <t xml:space="preserve">CABIN FRAME </t>
  </si>
  <si>
    <t>WEIGHT FRAME</t>
  </si>
  <si>
    <t>MACHINE FRAME</t>
  </si>
  <si>
    <t>PATEN 70/90</t>
  </si>
  <si>
    <t xml:space="preserve">PATEN 50LIK </t>
  </si>
  <si>
    <t>ELECTRONIC OVERLOAD  MEC.</t>
  </si>
  <si>
    <t>ELECTRONIC OVERLOAD  ELEC.</t>
  </si>
  <si>
    <t>ROPE ATTACHMENT 6.5MM/10MM</t>
  </si>
  <si>
    <t>ROPE CLIMENS 6MM</t>
  </si>
  <si>
    <t>ROPE CLIMENS 6.5MM</t>
  </si>
  <si>
    <t>ROPE CLIMENS 10MM</t>
  </si>
  <si>
    <t>M8*30 BOLT</t>
  </si>
  <si>
    <t>M14*70 BOLT</t>
  </si>
  <si>
    <t>M12*40 BOLT</t>
  </si>
  <si>
    <t>WEDGE ANCHOR M12*110</t>
  </si>
  <si>
    <t>RAIL CLIPS 5MM YAPRAK</t>
  </si>
  <si>
    <t>RAIL CLIPS 5MM T1</t>
  </si>
  <si>
    <t>RAIL CLIPS 9MM T2</t>
  </si>
  <si>
    <t>RAIL CLIPS 16MM T3</t>
  </si>
  <si>
    <t>RAIL CLIPS 9MM/16MM YAPRAK</t>
  </si>
  <si>
    <t>ROPES</t>
  </si>
  <si>
    <t>6MM ROPE</t>
  </si>
  <si>
    <t>6.5MM ROPE</t>
  </si>
  <si>
    <t>10MM ROPE</t>
  </si>
  <si>
    <t>CABIN  INOX</t>
  </si>
  <si>
    <t>CABIN  WOOD</t>
  </si>
  <si>
    <t>45*45*5MM</t>
  </si>
  <si>
    <t>50*50*5MM</t>
  </si>
  <si>
    <t>70*65*9MM</t>
  </si>
  <si>
    <t>89*62*16MM</t>
  </si>
  <si>
    <t>90*75*16MM</t>
  </si>
  <si>
    <t>RAILS</t>
  </si>
  <si>
    <t xml:space="preserve">BOLT </t>
  </si>
  <si>
    <t>CABIN + PARTS</t>
  </si>
  <si>
    <t>DOORS</t>
  </si>
  <si>
    <t>HÜRAS</t>
  </si>
  <si>
    <t>CABIN DOOR INOC</t>
  </si>
  <si>
    <t xml:space="preserve">LANDING DOOR INOX </t>
  </si>
  <si>
    <t>LANDING DOOR RAL PAINTED</t>
  </si>
  <si>
    <t>ALYANS</t>
  </si>
  <si>
    <t>FERMATOR</t>
  </si>
  <si>
    <t>CABLES</t>
  </si>
  <si>
    <t>TTR CABLE</t>
  </si>
  <si>
    <t>0.75mm CABLE</t>
  </si>
  <si>
    <t>4mm CABLE</t>
  </si>
  <si>
    <t>DT13 CABLE</t>
  </si>
  <si>
    <t>FLEXIBLE CABLE 24</t>
  </si>
  <si>
    <t>FLEXIBLE CABLE 30</t>
  </si>
  <si>
    <t>FLEXIBLE CABLE 36</t>
  </si>
  <si>
    <t>FLEXIBLE CABLE 20</t>
  </si>
  <si>
    <t>MOTOR</t>
  </si>
  <si>
    <t>CONTROL</t>
  </si>
  <si>
    <t>ARKEL ARCODE</t>
  </si>
  <si>
    <t>HEDEFSAN 2SPEED</t>
  </si>
  <si>
    <t>KONEL 2SPEED</t>
  </si>
  <si>
    <t>KONEL VVVF</t>
  </si>
  <si>
    <t>ARKEL 2 SPEED</t>
  </si>
  <si>
    <t xml:space="preserve">BUTONS </t>
  </si>
  <si>
    <t>CABLE CHANNEL</t>
  </si>
  <si>
    <t>SPIRAL HOSE</t>
  </si>
  <si>
    <t>FLEXIBLE WEDGE</t>
  </si>
  <si>
    <t>EMERGENCY BOX</t>
  </si>
  <si>
    <t>LIMIT SWITCH</t>
  </si>
  <si>
    <t>ELECTRONIC</t>
  </si>
  <si>
    <t>PHOTOCELL LONG</t>
  </si>
  <si>
    <t xml:space="preserve">PHOTOCELL 2 POINT </t>
  </si>
  <si>
    <t>KM-10 CARD</t>
  </si>
  <si>
    <t>KORMAS DOOR MOTOR</t>
  </si>
  <si>
    <t>KONEL CONTROL CARD</t>
  </si>
  <si>
    <t>ARKEL ARL 200</t>
  </si>
  <si>
    <t>ARKEL ARL 300</t>
  </si>
  <si>
    <t>ARKEL ARL100</t>
  </si>
  <si>
    <t>BUTKON FULL SIZE 4 STOP</t>
  </si>
  <si>
    <t>BUTKON FULL SIZE 5 STOP</t>
  </si>
  <si>
    <t>BUTKON FULL SIZE 6 STOP</t>
  </si>
  <si>
    <t>BUTKON HALF SIZE DIFFERENCE</t>
  </si>
  <si>
    <t>GENEMEK FULL SIZE 4STOP</t>
  </si>
  <si>
    <t xml:space="preserve">BUTKON LOP </t>
  </si>
  <si>
    <t xml:space="preserve">BUTKON LOP + 7SEGMENT </t>
  </si>
  <si>
    <t>AKTEL LOP</t>
  </si>
  <si>
    <t xml:space="preserve">GENEMEK LOP </t>
  </si>
  <si>
    <t>AKTEL LOP + SEGMENT</t>
  </si>
  <si>
    <t>GENEMEK LOP + 7 SEGMENT</t>
  </si>
  <si>
    <t>CONSOL</t>
  </si>
  <si>
    <t>6*8cm</t>
  </si>
  <si>
    <t>6*6cm</t>
  </si>
  <si>
    <t xml:space="preserve">UNIT </t>
  </si>
  <si>
    <t>PRICE</t>
  </si>
  <si>
    <t>AKIS 2SPEED 320KG</t>
  </si>
  <si>
    <t>AKIS VVVF 320 KG</t>
  </si>
  <si>
    <t>AKIS 2SPEED 450KG</t>
  </si>
  <si>
    <t>AKIS VVVF 450 KG</t>
  </si>
  <si>
    <t>AKIS 2SPEED 630KG</t>
  </si>
  <si>
    <t>AKIS VVVF 3630 KG</t>
  </si>
  <si>
    <t>PC(5M)</t>
  </si>
  <si>
    <t>400DH</t>
  </si>
  <si>
    <t>800DH</t>
  </si>
  <si>
    <t>MANUEL DOOR 700 RAL PAINTED</t>
  </si>
  <si>
    <t>PC(5M) (HMED AZUR)</t>
  </si>
  <si>
    <t xml:space="preserve">pc (HMED AZUR) </t>
  </si>
  <si>
    <t>4100DH</t>
  </si>
  <si>
    <t>1300DH</t>
  </si>
  <si>
    <t>pc (HMED AZUR)  1.1M</t>
  </si>
  <si>
    <t>7700DH</t>
  </si>
  <si>
    <t>2800DH</t>
  </si>
  <si>
    <t>5*7CM</t>
  </si>
  <si>
    <t>5*10CM</t>
  </si>
  <si>
    <t>25DH</t>
  </si>
  <si>
    <t>31DH</t>
  </si>
  <si>
    <t>5.8DH</t>
  </si>
  <si>
    <t>68DH</t>
  </si>
  <si>
    <t xml:space="preserve">M (HMED AZUR) </t>
  </si>
  <si>
    <t>DIJITAL CABLE</t>
  </si>
  <si>
    <t>260DH</t>
  </si>
  <si>
    <t>276DH</t>
  </si>
  <si>
    <t>BUFFER</t>
  </si>
  <si>
    <t>HEDEFSAN VVVF 7.5KW</t>
  </si>
  <si>
    <t>10500DH</t>
  </si>
  <si>
    <t>255DH</t>
  </si>
  <si>
    <t>150DH</t>
  </si>
  <si>
    <t>ALARM BOX + BUZZ</t>
  </si>
  <si>
    <t>600DH</t>
  </si>
  <si>
    <t xml:space="preserve">AKTEL FULL SIZE 6STOP </t>
  </si>
  <si>
    <t xml:space="preserve">AKTEL HALF SIZE 6STOP </t>
  </si>
  <si>
    <t>1450DH</t>
  </si>
  <si>
    <t xml:space="preserve">MACHINE BASE PLAT </t>
  </si>
  <si>
    <t>45DH</t>
  </si>
  <si>
    <t>1100DH</t>
  </si>
  <si>
    <t>18500DH</t>
  </si>
  <si>
    <t>26DH</t>
  </si>
  <si>
    <t>8DH</t>
  </si>
  <si>
    <t>18DH</t>
  </si>
  <si>
    <t>10700DH</t>
  </si>
  <si>
    <t>CABIN DOOR INOX 700MM</t>
  </si>
  <si>
    <t>CONTERWEIGHT BLOCK 96CM</t>
  </si>
  <si>
    <t xml:space="preserve">50KG 1PC (HMED AZUR) </t>
  </si>
  <si>
    <t>340DH</t>
  </si>
  <si>
    <t>MONTANARI 450KG 1.0M/S VVVF</t>
  </si>
  <si>
    <t>26900DH</t>
  </si>
  <si>
    <t>6300DH</t>
  </si>
  <si>
    <t>3500DH</t>
  </si>
  <si>
    <t>4600DH</t>
  </si>
  <si>
    <t>26000DH</t>
  </si>
  <si>
    <t>2600DH</t>
  </si>
  <si>
    <t>100DH</t>
  </si>
  <si>
    <t>DEMSAN</t>
  </si>
  <si>
    <t>15000DH</t>
  </si>
  <si>
    <t>14000DH</t>
  </si>
  <si>
    <t>8500DH</t>
  </si>
  <si>
    <t>6500DH</t>
  </si>
  <si>
    <t>ADIL AZUR</t>
  </si>
  <si>
    <t>ARCUBE</t>
  </si>
  <si>
    <t>AYHAN</t>
  </si>
  <si>
    <t>7500DH</t>
  </si>
  <si>
    <t>15500DH</t>
  </si>
  <si>
    <t>11600DH</t>
  </si>
  <si>
    <t>5300DH</t>
  </si>
  <si>
    <t>9000DH</t>
  </si>
  <si>
    <t>14DH</t>
  </si>
  <si>
    <t>1M</t>
  </si>
  <si>
    <t>ERKAN PARSHUT</t>
  </si>
  <si>
    <t>2300DH</t>
  </si>
  <si>
    <t>80DH</t>
  </si>
  <si>
    <t xml:space="preserve">PULLEY </t>
  </si>
  <si>
    <t>1600DH</t>
  </si>
  <si>
    <t>400MM</t>
  </si>
  <si>
    <t>PATEN PLASTIC</t>
  </si>
  <si>
    <t>35DH</t>
  </si>
  <si>
    <t>1900DH</t>
  </si>
  <si>
    <t>HEDEFSAN CARD ECO10+SERI</t>
  </si>
  <si>
    <t>1600DH\</t>
  </si>
  <si>
    <t>SICOR 450KG VVVF</t>
  </si>
  <si>
    <t>AZUR HAMID</t>
  </si>
  <si>
    <t>SPEED GOVERNOR 2VITESS</t>
  </si>
  <si>
    <t>SPEED GOVERNOR VVVF A3</t>
  </si>
  <si>
    <t>CABIN DOOR INOX 800MM</t>
  </si>
  <si>
    <t>SERCOLIFT HAMID</t>
  </si>
  <si>
    <t>GOSTERGE</t>
  </si>
  <si>
    <t>mondialift HAMID</t>
  </si>
  <si>
    <t>ses kayidi hamid</t>
  </si>
  <si>
    <t>hamid voice</t>
  </si>
  <si>
    <t>10800DH</t>
  </si>
  <si>
    <t>!+ ups 12500</t>
  </si>
  <si>
    <t>UNIT</t>
  </si>
  <si>
    <t>QUANTITY</t>
  </si>
  <si>
    <t>KDV POSSIBILITY</t>
  </si>
  <si>
    <t>PICTURE</t>
  </si>
  <si>
    <t>MECHANICAL PARTS</t>
  </si>
  <si>
    <t xml:space="preserve">PRODUCT / SPECIFICATIONS </t>
  </si>
  <si>
    <t>Pc</t>
  </si>
  <si>
    <t>NO</t>
  </si>
  <si>
    <t>LANDING DOOR (DEAS) STAINLESS STEEL 70/80/90 CM</t>
  </si>
  <si>
    <t>CABIN DOOR (DEAS) STAINLESS STEEL 70/80/90 CM</t>
  </si>
  <si>
    <t>LANDING DOOR (DEAS) RAL PAINTED 70/80/90 CM</t>
  </si>
  <si>
    <t>CABINS</t>
  </si>
  <si>
    <r>
      <t xml:space="preserve">MOTOR AKIŞ MUGEN M2 SERİSİ GEARBOX </t>
    </r>
    <r>
      <rPr>
        <b/>
        <sz val="11"/>
        <color theme="1"/>
        <rFont val="Calibri"/>
        <family val="2"/>
        <scheme val="minor"/>
      </rPr>
      <t>2 SPEED</t>
    </r>
    <r>
      <rPr>
        <sz val="11"/>
        <color theme="1"/>
        <rFont val="Calibri"/>
        <family val="2"/>
        <scheme val="minor"/>
      </rPr>
      <t xml:space="preserve">     480 KG</t>
    </r>
  </si>
  <si>
    <r>
      <t xml:space="preserve">MOTOR AKIŞ MUGEN M2 SERİSİ GEARBOX </t>
    </r>
    <r>
      <rPr>
        <b/>
        <sz val="11"/>
        <color theme="1"/>
        <rFont val="Calibri"/>
        <family val="2"/>
        <scheme val="minor"/>
      </rPr>
      <t>2 SPEED</t>
    </r>
    <r>
      <rPr>
        <sz val="11"/>
        <color theme="1"/>
        <rFont val="Calibri"/>
        <family val="2"/>
        <scheme val="minor"/>
      </rPr>
      <t xml:space="preserve">    720 KG</t>
    </r>
  </si>
  <si>
    <t>CONSOL 5*7cm</t>
  </si>
  <si>
    <t>CONSOL 5*10cm</t>
  </si>
  <si>
    <t>RAIL 50*50*5mm + FİSH PLATE (5M)</t>
  </si>
  <si>
    <t>RAIL 70*65*9mm + FİSH PLATE (5M)</t>
  </si>
  <si>
    <t>RAILS/ CONSOLS/ BOLTS</t>
  </si>
  <si>
    <t>SET</t>
  </si>
  <si>
    <r>
      <t xml:space="preserve">PRICE </t>
    </r>
    <r>
      <rPr>
        <b/>
        <sz val="12"/>
        <color theme="4" tint="-0.499984740745262"/>
        <rFont val="Calibri"/>
        <family val="2"/>
        <scheme val="minor"/>
      </rPr>
      <t>IN TURKEY</t>
    </r>
    <r>
      <rPr>
        <b/>
        <sz val="12"/>
        <color theme="1"/>
        <rFont val="Calibri"/>
        <family val="2"/>
        <scheme val="minor"/>
      </rPr>
      <t xml:space="preserve"> (without kdv) + LOCAL TRANSP 'USD'</t>
    </r>
  </si>
  <si>
    <t>RAIL CLIPS 50</t>
  </si>
  <si>
    <t xml:space="preserve">RAIL CLIPS 70 </t>
  </si>
  <si>
    <t>ROPE 10 MM</t>
  </si>
  <si>
    <t>ROPE 6 MM</t>
  </si>
  <si>
    <t>M</t>
  </si>
  <si>
    <t>OTHERS</t>
  </si>
  <si>
    <t>WEIGHT 96CM /50 KG  PLASTIC</t>
  </si>
  <si>
    <t>CABLE 0.75MM</t>
  </si>
  <si>
    <t>FRANÇAIS</t>
  </si>
  <si>
    <t>FLEXIBLE CABLE 36LIK</t>
  </si>
  <si>
    <t>FLEXIBLE CABLE WEDGE</t>
  </si>
  <si>
    <t>ALARM BOX</t>
  </si>
  <si>
    <t>EMERGENCY BUTTON</t>
  </si>
  <si>
    <t xml:space="preserve">ROLLER SWITCH </t>
  </si>
  <si>
    <t>PHOTOCELL</t>
  </si>
  <si>
    <t>DOOR CARD ARKEL KM-10</t>
  </si>
  <si>
    <t>DOOR CARD ARKEL KM-10 COPY EOM</t>
  </si>
  <si>
    <t>ROPE ATTACHMENT 10MM</t>
  </si>
  <si>
    <t>ROPE CONNECTOR 6MM</t>
  </si>
  <si>
    <t>ROPE CONNECTOR 10MM</t>
  </si>
  <si>
    <t>SPEED GOVERNOR VVVF</t>
  </si>
  <si>
    <t>SPEED GOVERNOR 2 SPEED</t>
  </si>
  <si>
    <t>COP 6 STOPS STAINLESS STEEL + INTERCOM 7 SEGMENT SCREEN * FULL SIZE 2M *</t>
  </si>
  <si>
    <t>COP 6 STOPS STAINLESS STEEL + INTERCOM 7 SEGMENT SCREEN * HALF SIZE 1M *</t>
  </si>
  <si>
    <t>LOP STAINLESS STEEL 7 SEGMENT SCREEN</t>
  </si>
  <si>
    <t>LOP STAINLESS STEEL without screen</t>
  </si>
  <si>
    <t>UP DOOR SCREEN</t>
  </si>
  <si>
    <t>BUTON</t>
  </si>
  <si>
    <t xml:space="preserve">UPS PRICE </t>
  </si>
  <si>
    <t>CONTROLLERS</t>
  </si>
  <si>
    <r>
      <t xml:space="preserve">PORTES PALIERE AUTOMATIQUE </t>
    </r>
    <r>
      <rPr>
        <b/>
        <sz val="11"/>
        <color theme="1"/>
        <rFont val="Calibri"/>
        <family val="2"/>
        <scheme val="minor"/>
      </rPr>
      <t>PEINTURE EPOXY</t>
    </r>
  </si>
  <si>
    <r>
      <t xml:space="preserve">PORTES PALIERE AUTOMATIQUE </t>
    </r>
    <r>
      <rPr>
        <b/>
        <sz val="11"/>
        <color theme="1"/>
        <rFont val="Calibri"/>
        <family val="2"/>
        <scheme val="minor"/>
      </rPr>
      <t>INOX</t>
    </r>
  </si>
  <si>
    <r>
      <t xml:space="preserve">PORTES CABINE / OPERATEUR *DEAS* </t>
    </r>
    <r>
      <rPr>
        <b/>
        <sz val="11"/>
        <color theme="1"/>
        <rFont val="Calibri"/>
        <family val="2"/>
        <scheme val="minor"/>
      </rPr>
      <t>INOX</t>
    </r>
  </si>
  <si>
    <t>CROMPO 50</t>
  </si>
  <si>
    <t>CROMPO 70</t>
  </si>
  <si>
    <t>BOULON 12/30 COMPLET</t>
  </si>
  <si>
    <t>BOULON 8/30</t>
  </si>
  <si>
    <t>BOULON 14/70</t>
  </si>
  <si>
    <t>CHEVEILLE 12/100</t>
  </si>
  <si>
    <t>Cable traction (10)</t>
  </si>
  <si>
    <t>cable regulateur</t>
  </si>
  <si>
    <t>Bouton palier avec afficheur</t>
  </si>
  <si>
    <t>Bouton palier</t>
  </si>
  <si>
    <t>GUIDE RAIL 70</t>
  </si>
  <si>
    <t>GUIDE RAIL 50</t>
  </si>
  <si>
    <t>REGULATEUR DE VITESSE 2 VITESSE</t>
  </si>
  <si>
    <t>REGULATEUR DE VITESSE VVVF 1.0M/S-0.8M/S</t>
  </si>
  <si>
    <t>Photocellule</t>
  </si>
  <si>
    <t xml:space="preserve">ARMOIRE 2 VITESSE KONEL </t>
  </si>
  <si>
    <t>UPS</t>
  </si>
  <si>
    <t>CONTERWEIGHT BLOCK 96 CM (50 KG)</t>
  </si>
  <si>
    <t>Tirands 10MM</t>
  </si>
  <si>
    <t>WIRE DUCT GOULLOTTE 40X40</t>
  </si>
  <si>
    <t>OPERATEUR CARTE ARKEL KM-10</t>
  </si>
  <si>
    <t>OPERATEUR CARTE KM-10 COPY</t>
  </si>
  <si>
    <t>BOÎTE D'ALARME</t>
  </si>
  <si>
    <t>SERRE CABLE DIAM 10 *</t>
  </si>
  <si>
    <t>SERRE CABLE DIAM 6 *</t>
  </si>
  <si>
    <t>STOP COUP POING</t>
  </si>
  <si>
    <t>Indicateurs D’Atterissage</t>
  </si>
  <si>
    <t>Boutons De Cabine D’Ascenseur 2m</t>
  </si>
  <si>
    <t>Boutons De Cabine D’Ascenseur 1m</t>
  </si>
  <si>
    <t>Tube spiralé 14mm</t>
  </si>
  <si>
    <t>SPIRAL HOSE 14mm</t>
  </si>
  <si>
    <t>BUFFER cabin/c.p</t>
  </si>
  <si>
    <t>cable 0.75mm</t>
  </si>
  <si>
    <t>câble numérique DT/13</t>
  </si>
  <si>
    <t>CABLE 4MM</t>
  </si>
  <si>
    <t>Cable 4MM</t>
  </si>
  <si>
    <t>TTR CABLE 3*075MM</t>
  </si>
  <si>
    <t xml:space="preserve"> </t>
  </si>
  <si>
    <r>
      <t xml:space="preserve">MOTOR AKIŞ </t>
    </r>
    <r>
      <rPr>
        <b/>
        <sz val="11"/>
        <color theme="1"/>
        <rFont val="Calibri"/>
        <family val="2"/>
        <scheme val="minor"/>
      </rPr>
      <t>VVVF</t>
    </r>
    <r>
      <rPr>
        <sz val="11"/>
        <color theme="1"/>
        <rFont val="Calibri"/>
        <family val="2"/>
        <scheme val="minor"/>
      </rPr>
      <t xml:space="preserve"> MF1 PROE 5.5KW 400KG/630KG +ENCODER</t>
    </r>
  </si>
  <si>
    <r>
      <t xml:space="preserve">MOTOR AKIŞ </t>
    </r>
    <r>
      <rPr>
        <b/>
        <sz val="11"/>
        <color theme="1"/>
        <rFont val="Calibri"/>
        <family val="2"/>
        <scheme val="minor"/>
      </rPr>
      <t>VVVF</t>
    </r>
    <r>
      <rPr>
        <sz val="11"/>
        <color theme="1"/>
        <rFont val="Calibri"/>
        <family val="2"/>
        <scheme val="minor"/>
      </rPr>
      <t xml:space="preserve"> MF1 PROE 7.5KW 500KG/800KG +ENCODER</t>
    </r>
  </si>
  <si>
    <t xml:space="preserve">DT-13 DIGITAL CABLE </t>
  </si>
  <si>
    <t>MANUEL DOORS+PARTS</t>
  </si>
  <si>
    <t>MANUEL DOOR RAL PAINTED 70/80/90</t>
  </si>
  <si>
    <t xml:space="preserve">MANUEL DOOR LOCK </t>
  </si>
  <si>
    <t xml:space="preserve">MANUEL DOOR GAM </t>
  </si>
  <si>
    <t>CAME DC 220V / 60V</t>
  </si>
  <si>
    <t>SERRURE (DOOR LOCK)</t>
  </si>
  <si>
    <t>DICTATOR</t>
  </si>
  <si>
    <t>Door Shock Absorber</t>
  </si>
  <si>
    <t>OIL COLLECTION SET</t>
  </si>
  <si>
    <t>coulisseaux CABIN</t>
  </si>
  <si>
    <t>Garniture coulisseau</t>
  </si>
  <si>
    <t>GUIDE SHOE</t>
  </si>
  <si>
    <t>GUIDE SHOE PLASTIC</t>
  </si>
  <si>
    <t>LUBRICATOR BOX</t>
  </si>
  <si>
    <t>BOITE DE LUBRIFICATION</t>
  </si>
  <si>
    <t>Collecteur D'huile</t>
  </si>
  <si>
    <t>SHIPMENT*40HC* KONYA-TANGER</t>
  </si>
  <si>
    <t>COSTUMES   (TURKEY)</t>
  </si>
  <si>
    <t>CABINE INOX 1200/1100 + EMBALLAGE</t>
  </si>
  <si>
    <t>SEMI AUTOMATIC PORTES 70/80/90</t>
  </si>
  <si>
    <t>yes 20%</t>
  </si>
  <si>
    <r>
      <t xml:space="preserve">PRICE </t>
    </r>
    <r>
      <rPr>
        <b/>
        <sz val="12"/>
        <color theme="5" tint="-0.249977111117893"/>
        <rFont val="Calibri"/>
        <family val="2"/>
        <scheme val="minor"/>
      </rPr>
      <t xml:space="preserve">IN MOROCCO </t>
    </r>
    <r>
      <rPr>
        <i/>
        <sz val="12"/>
        <color theme="5" tint="-0.499984740745262"/>
        <rFont val="Calibri"/>
        <family val="2"/>
        <scheme val="minor"/>
      </rPr>
      <t>AZUR</t>
    </r>
    <r>
      <rPr>
        <b/>
        <sz val="12"/>
        <color theme="1"/>
        <rFont val="Calibri"/>
        <family val="2"/>
        <scheme val="minor"/>
      </rPr>
      <t xml:space="preserve"> (without TVA) 'DH'</t>
    </r>
  </si>
  <si>
    <r>
      <t xml:space="preserve">PRICE </t>
    </r>
    <r>
      <rPr>
        <b/>
        <sz val="12"/>
        <color theme="5" tint="-0.249977111117893"/>
        <rFont val="Calibri"/>
        <family val="2"/>
        <scheme val="minor"/>
      </rPr>
      <t xml:space="preserve">IN MOROCCO </t>
    </r>
    <r>
      <rPr>
        <i/>
        <sz val="12"/>
        <color theme="5" tint="-0.499984740745262"/>
        <rFont val="Calibri"/>
        <family val="2"/>
        <scheme val="minor"/>
      </rPr>
      <t>ECO</t>
    </r>
    <r>
      <rPr>
        <b/>
        <sz val="12"/>
        <color theme="1"/>
        <rFont val="Calibri"/>
        <family val="2"/>
        <scheme val="minor"/>
      </rPr>
      <t xml:space="preserve"> (without TVA) 'DH'</t>
    </r>
  </si>
  <si>
    <t>HURAS BRAND</t>
  </si>
  <si>
    <t>ALYANS BRAND</t>
  </si>
  <si>
    <t>PULLEY 5*10</t>
  </si>
  <si>
    <t>POULIE RENVOI 5*10</t>
  </si>
  <si>
    <t>yes</t>
  </si>
  <si>
    <t>YES</t>
  </si>
  <si>
    <t xml:space="preserve">CONTROLLER EEM-MONARCH A3 VVVF 7.5KW + REVIZYON BOX </t>
  </si>
  <si>
    <t xml:space="preserve">CONTROLLER EEM 2 SPEED </t>
  </si>
  <si>
    <t>ARMOIRE VVVF EEM MONARCH+ boite inspection</t>
  </si>
  <si>
    <t>Ref</t>
  </si>
  <si>
    <t>BUFFER  cabin/c.p / Les boudins - ressort dyal l7ofra</t>
  </si>
  <si>
    <r>
      <t>cable souple 36 -</t>
    </r>
    <r>
      <rPr>
        <sz val="11"/>
        <color rgb="FFFF0000"/>
        <rFont val="Calibri"/>
        <family val="2"/>
        <scheme val="minor"/>
      </rPr>
      <t xml:space="preserve"> 24 (plus utilisé)</t>
    </r>
    <r>
      <rPr>
        <sz val="11"/>
        <color theme="1"/>
        <rFont val="Calibri"/>
        <family val="2"/>
        <scheme val="minor"/>
      </rPr>
      <t xml:space="preserve">
36 -&gt; 75 dh / 24 -&gt;  55 à 60 dh</t>
    </r>
  </si>
  <si>
    <t>support cable souple (40 à 50 Dh)</t>
  </si>
  <si>
    <t>Douane</t>
  </si>
  <si>
    <t>Acier (O/N)</t>
  </si>
  <si>
    <t>Impots</t>
  </si>
  <si>
    <t>Description</t>
  </si>
  <si>
    <t>Poids</t>
  </si>
  <si>
    <t>Marge</t>
  </si>
  <si>
    <t>Prix Turquie</t>
  </si>
  <si>
    <t>Transport &amp; Transitaire</t>
  </si>
  <si>
    <t>Aléas transport</t>
  </si>
  <si>
    <t>Charge équipe/bureau</t>
  </si>
  <si>
    <t>Prix final stock</t>
  </si>
  <si>
    <t>Cable traction (10mm)</t>
  </si>
  <si>
    <t>cable regulateur (6mm)</t>
  </si>
  <si>
    <t>Prix à proposer avec stock</t>
  </si>
  <si>
    <t>Items Pricing Order Lift Morocco</t>
  </si>
  <si>
    <t>Hypothèse : conteneur par mois de vente d'une valeur de 250000 MAD, 2 recrues full time</t>
  </si>
  <si>
    <r>
      <t xml:space="preserve">PRICE </t>
    </r>
    <r>
      <rPr>
        <b/>
        <sz val="12"/>
        <color theme="5" tint="-0.249977111117893"/>
        <rFont val="Calibri"/>
        <family val="2"/>
        <scheme val="minor"/>
      </rPr>
      <t xml:space="preserve">IN MOROCCO </t>
    </r>
    <r>
      <rPr>
        <b/>
        <sz val="12"/>
        <color theme="1"/>
        <rFont val="Calibri"/>
        <family val="2"/>
        <scheme val="minor"/>
      </rPr>
      <t>AZUR</t>
    </r>
  </si>
  <si>
    <r>
      <t xml:space="preserve">PRICE </t>
    </r>
    <r>
      <rPr>
        <b/>
        <sz val="12"/>
        <color theme="5" tint="-0.249977111117893"/>
        <rFont val="Calibri"/>
        <family val="2"/>
        <scheme val="minor"/>
      </rPr>
      <t xml:space="preserve">IN MOROCCO </t>
    </r>
    <r>
      <rPr>
        <b/>
        <sz val="12"/>
        <color theme="1"/>
        <rFont val="Calibri"/>
        <family val="2"/>
        <scheme val="minor"/>
      </rPr>
      <t>(-)</t>
    </r>
  </si>
  <si>
    <t>made in morocco</t>
  </si>
  <si>
    <t>USD to MAD</t>
  </si>
  <si>
    <t>Cost/Ton :</t>
  </si>
  <si>
    <t>Electrozinc plate</t>
  </si>
  <si>
    <t xml:space="preserve">Flat bolt </t>
  </si>
  <si>
    <t>1400 Euros/ton</t>
  </si>
  <si>
    <t>Casa</t>
  </si>
  <si>
    <t>1380 Euros/ton</t>
  </si>
  <si>
    <t>Hex nuts only</t>
  </si>
  <si>
    <t>Adana</t>
  </si>
  <si>
    <t>Voitures amortissement</t>
  </si>
  <si>
    <t>RH</t>
  </si>
  <si>
    <t>Comptable et autre</t>
  </si>
  <si>
    <t>Charges par mois</t>
  </si>
  <si>
    <t>$ to Euros</t>
  </si>
  <si>
    <t>w</t>
  </si>
  <si>
    <t>CABIN STANDARD</t>
  </si>
  <si>
    <t>CABIN ( 6 PERSONS. STAINLESS STEEL + PVC FLOOR ) + PACKING + ARCADE</t>
  </si>
  <si>
    <t>CABIN PERSONILEZD</t>
  </si>
  <si>
    <t>ARCADE CABINE /DEG 1200 + ARCADE CONTRE-POIDS + TIRANDS + COULISSEAUX</t>
  </si>
  <si>
    <t>CABIN FRAME + ROPE ATTACHEMNT + ROPE CONNECTORS + CONTRE POIDS</t>
  </si>
  <si>
    <t>CABINE STANDARD INOX 1200/1100 + EMBALLAGE</t>
  </si>
  <si>
    <t>ARCADE COMPLET 100CM</t>
  </si>
  <si>
    <t>OUPERATEUR GAUCHE 60CM</t>
  </si>
  <si>
    <t>CABINE 90*62CM</t>
  </si>
  <si>
    <t>CALIBTEURS FIN DE COURSE</t>
  </si>
  <si>
    <t>CHASSIS MOTEUR STANDARD GEARBOX AVEC CYLINBLOC</t>
  </si>
  <si>
    <t>Type</t>
  </si>
  <si>
    <t>TABLEAU 2V EEM</t>
  </si>
  <si>
    <t>GOSE 76CM - 31KG</t>
  </si>
  <si>
    <t>Soufiane</t>
  </si>
  <si>
    <t>Réf.</t>
  </si>
  <si>
    <t>Quantité</t>
  </si>
  <si>
    <t>Unité</t>
  </si>
  <si>
    <t>Prix conteneur en USD</t>
  </si>
  <si>
    <t>Prix camion TTC</t>
  </si>
  <si>
    <t>Déchargement</t>
  </si>
  <si>
    <t>Chargement</t>
  </si>
  <si>
    <t>Nombre de conteneur par mois</t>
  </si>
  <si>
    <t>Valeur de conteneur</t>
  </si>
  <si>
    <t>USD / MAD</t>
  </si>
  <si>
    <t>Prix à proposer ss stock (min)</t>
  </si>
  <si>
    <t>Ascenseur complet</t>
  </si>
  <si>
    <t>Générer devis</t>
  </si>
  <si>
    <t>Générer facture</t>
  </si>
  <si>
    <t>Moteur AKIS VVVF 400KG/630KG +ENCODEUR</t>
  </si>
  <si>
    <t>Moteur AKIS VVVF 500KG/800KG +ENCODEUR</t>
  </si>
  <si>
    <t>Moteur AKIS 2 VITESSE 480KG</t>
  </si>
  <si>
    <t>Moteur AKIS 2 VITESSE 720KG</t>
  </si>
  <si>
    <t>Pricing</t>
  </si>
  <si>
    <t>Prix final sans stock (min)</t>
  </si>
  <si>
    <t>Prix final sans stock (max)</t>
  </si>
  <si>
    <t>Fournisseur au Maroc</t>
  </si>
  <si>
    <t>Nombre de personne</t>
  </si>
  <si>
    <t>Porte 70 prs inf 4 &amp; 80 pour &gt;= 5 prs</t>
  </si>
  <si>
    <t>Nombre de niveau</t>
  </si>
  <si>
    <t>Standard, Gaine &gt; 130 x 130. &gt;11 étages</t>
  </si>
  <si>
    <t>OPERATEUR INOX ATERYA 70/80</t>
  </si>
  <si>
    <t>Moteur marque</t>
  </si>
  <si>
    <t>Moteur capacité</t>
  </si>
  <si>
    <t>CLASSIC BRACKET 60X60 patate</t>
  </si>
  <si>
    <t>CLASSIC BRACKET 60X80</t>
  </si>
  <si>
    <t>PORTE PALIERE AUTOMATIQUE INOX ATERYA 70/80</t>
  </si>
  <si>
    <t>PORTE PALIERE AUTOMATIQUE EPOXY ATERYA 70/80</t>
  </si>
  <si>
    <t>Porte marque</t>
  </si>
  <si>
    <t>Porte type</t>
  </si>
  <si>
    <t>ADRIVE  ARL 300 VVVF + REVİZION BOX + ALARM MAX10</t>
  </si>
  <si>
    <t>ADRIVE  ARL 300 VVVF + REVİZION BOX + ALARM MAX4 MAX6 MAX8</t>
  </si>
  <si>
    <t>CABINE INOX 1200/1100 STANDARD</t>
  </si>
  <si>
    <t>CABINE INOX 1200/1100 PERSONALISÉE</t>
  </si>
  <si>
    <t>PORTES CABINE / OPERATEUR *DEAS* INOX 70/80</t>
  </si>
  <si>
    <t>MOTEUR AKİŞ 2V MAX4 MAX6</t>
  </si>
  <si>
    <t>MOTEUR AKİŞ 2V MAX8</t>
  </si>
  <si>
    <t>CLASSIC BRACKET 60X60 (PATE)</t>
  </si>
  <si>
    <t>CLASSIC BRACKET 60X80  (PATE)</t>
  </si>
  <si>
    <t>TIRANDS 10MM</t>
  </si>
  <si>
    <t>COLLECTEUR D'HUILE</t>
  </si>
  <si>
    <t>COULISSEAUX CABIN</t>
  </si>
  <si>
    <t>CÂBLE NUMÉRIQUE DT/13</t>
  </si>
  <si>
    <t>TUBE SPIRALÉ 14MM</t>
  </si>
  <si>
    <t>BOUTONS DE CABINE D’ASCENSEUR 2M</t>
  </si>
  <si>
    <t>BOUTONS DE CABINE D’ASCENSEUR 1M</t>
  </si>
  <si>
    <t>BOUTON PALIER AVEC AFFICHEUR</t>
  </si>
  <si>
    <t>BOUTON PALIER</t>
  </si>
  <si>
    <t>INDICATEURS D’ATTERISSAGE</t>
  </si>
  <si>
    <t>PHOTOCELLULE</t>
  </si>
  <si>
    <t>MOTEUR PRIMO 2V MAX4 + CHASSIS</t>
  </si>
  <si>
    <t>MOTEUR PRIMO 2V MAX6 + CHASSIS</t>
  </si>
  <si>
    <t>MOTEUR PRIMO 2V MAX8 + CHASSIS</t>
  </si>
  <si>
    <t>MOTEUR PRIMO 2V MAX10 + CHASSIS</t>
  </si>
  <si>
    <t>CROMPO 90</t>
  </si>
  <si>
    <t>MOTEUR PRIMO VVVF MAX6 + CHASSIS</t>
  </si>
  <si>
    <t>MOTEUR PRIMO VVVF MAX4 + CHASSIS</t>
  </si>
  <si>
    <t>MOTEUR PRIMO VVVF MAX8 + CHASSIS</t>
  </si>
  <si>
    <t>MOTEUR PRIMO VVVF MAX10 + CHASSIS</t>
  </si>
  <si>
    <t>ARMOIRE VVVF EEM MONARCH + BOITE INSPECTION + ALARM MAX4 MAX6 MAX8</t>
  </si>
  <si>
    <t>ARMOIRE VVVF EEM MONARCH + BOITE INSPECTION + ALARM MAX10</t>
  </si>
  <si>
    <t>ARMOIRE 2V EEM + BOITE INSPECTION + ALARM MAX10</t>
  </si>
  <si>
    <t>ARMOIRE GEARLESS EEM + BOITE INSPECTION + ALARM MAX10</t>
  </si>
  <si>
    <t>ARMOIRE GEARLESS EEM + BOITE INSPECTION + ALARM MAX4 MAX6 MAX8</t>
  </si>
  <si>
    <t>CABLE TRACTION (10mm)</t>
  </si>
  <si>
    <t>SET RAIL : 50 + 70</t>
  </si>
  <si>
    <t>Comission vente (sur prix initial)</t>
  </si>
  <si>
    <t>Location (bureau + stock)</t>
  </si>
  <si>
    <t>Composante</t>
  </si>
  <si>
    <t>Porte matériau</t>
  </si>
  <si>
    <t>ARMOIRE</t>
  </si>
  <si>
    <t>MOTEUR</t>
  </si>
  <si>
    <t>PORTE</t>
  </si>
  <si>
    <t>OPÉRATEUR</t>
  </si>
  <si>
    <t>CABINE &amp; ARCADE</t>
  </si>
  <si>
    <t>RAILS &amp; ACCESSOIRES</t>
  </si>
  <si>
    <t>CABLES &amp; ACCESSOIRES</t>
  </si>
  <si>
    <t>GOSE</t>
  </si>
  <si>
    <t>AUTRES</t>
  </si>
  <si>
    <t>Version 11/12/2025</t>
  </si>
  <si>
    <t>Type des composantes :</t>
  </si>
  <si>
    <t>GOSE 96 CM (50 KG)</t>
  </si>
  <si>
    <t>POULIE RENVOI 5*10 GEARBOX</t>
  </si>
  <si>
    <t>ARCADE CABINE 1200/1100 + ARCADE CONTRE-POIDS + TIRANDS + COULISSEAUX GEARLESS</t>
  </si>
  <si>
    <t>ARCADE CABINE 1200/1100 + ARCADE CONTRE-POIDS + TIRANDS + COULISSEAUX GEARBOX</t>
  </si>
  <si>
    <t>SET CABINE STANDARD INOX 1200/1100 + ARCADES &amp; ACCESSOIRES GEARBOX</t>
  </si>
  <si>
    <t>OPERATEUR 60CM ATERYA</t>
  </si>
  <si>
    <t>BOUTONS</t>
  </si>
  <si>
    <t>CHASSIS MOTEUR STANDARD VVVF 2V AVEC CYLINBLOC</t>
  </si>
  <si>
    <t>CABINE INOX 1100/1000 PERSONALISÉE</t>
  </si>
  <si>
    <t>CABINE INOX 1100/1000 STANDARD</t>
  </si>
  <si>
    <t>CABINE INOX 1000/900 PERSONALISÉE</t>
  </si>
  <si>
    <t>CABINE INOX 1000/900 STANDARD</t>
  </si>
  <si>
    <t>ARCADE CABINE 1000/900 + ARCADE CONTRE-POIDS + TIRANDS + COULISSEAUX GEARBOX</t>
  </si>
  <si>
    <t>ARCADE CABINE 1000/900 + ARCADE CONTRE-POIDS + TIRANDS + COULISSEAUX GEARLESS</t>
  </si>
  <si>
    <t>ARCADE CABINE 1100/1000 + ARCADE CONTRE-POIDS + TIRANDS + COULISSEAUX GEARBOX</t>
  </si>
  <si>
    <t>ARCADE CABINE 1100/1000 + ARCADE CONTRE-POIDS + TIRANDS + COULISSEAUX GEARLESS</t>
  </si>
  <si>
    <t>PORTES PALIERE AUTOMATIQUE INOX *DEAS* 70/80</t>
  </si>
  <si>
    <t>PORTES PALIERE AUTOMATIQUE PEINTURE EPOXY *DEAS* 70/80</t>
  </si>
  <si>
    <t>AKİŞ</t>
  </si>
  <si>
    <t>ARMOIRE 2V EEM + BOITE INSPECTION + ALARM MAX4 MAX6 MAX8</t>
  </si>
  <si>
    <t>Prix à proposer (normal)</t>
  </si>
  <si>
    <t>Porte dimension</t>
  </si>
  <si>
    <t>ATERYA</t>
  </si>
  <si>
    <t>INOX</t>
  </si>
  <si>
    <t>AUTOMATIQUE</t>
  </si>
  <si>
    <t>BOULON 12/25</t>
  </si>
  <si>
    <t>BOULON 12/40</t>
  </si>
  <si>
    <t>GEARLESS</t>
  </si>
  <si>
    <t>CABLE REGULATEUR (6mm)</t>
  </si>
  <si>
    <t>CABLES ELECTRIQUES &amp; ACCESSOIRES</t>
  </si>
  <si>
    <t>SERRE CABLE DIAM 10mm *</t>
  </si>
  <si>
    <t>SERRE CABLE DIAM 6mm *</t>
  </si>
  <si>
    <t>COULISSEAUX CONTRE-POIDS</t>
  </si>
  <si>
    <t xml:space="preserve">MONOSTABLE </t>
  </si>
  <si>
    <t>BISTABLE</t>
  </si>
  <si>
    <t>BOUTON DE SECOURS</t>
  </si>
  <si>
    <t>N</t>
  </si>
  <si>
    <t>CABLE SOUPLE 24
36 -&gt; 75 DH / 24 -&gt;  55 À 60 DH</t>
  </si>
  <si>
    <t>ECLAIRAGE DE GAINE</t>
  </si>
  <si>
    <t>PORTE PALIERE AUTOMATIQUE INOX FERMATOR 70</t>
  </si>
  <si>
    <t>PORTE PALIERE AUTOMATIQUE EPOXY FERMATOR 70</t>
  </si>
  <si>
    <t>OPERATEUR INOX FERMATOR 70</t>
  </si>
  <si>
    <t>PORTE PALIERE AUTOMATIQUE INOX FERMATOR 80</t>
  </si>
  <si>
    <t>PORTE PALIERE AUTOMATIQUE EPOXY FERMATOR 80</t>
  </si>
  <si>
    <t>OPERATEUR INOX FERMATOR 80</t>
  </si>
  <si>
    <t>PORTE PALIERE AUTOMATIQUE INOX FERMATOR 90</t>
  </si>
  <si>
    <t>PORTE PALIERE AUTOMATIQUE EPOXY FERMATOR 90</t>
  </si>
  <si>
    <t>OPERATEUR INOX FERMATOR 90</t>
  </si>
  <si>
    <t>-</t>
  </si>
  <si>
    <t>MOTEUR PRIMO GEARLESS MAX4 MAX6 + CHASSIS</t>
  </si>
  <si>
    <t>CHASSIS MOTEUR GEARLESS</t>
  </si>
  <si>
    <t>ECHELLE</t>
  </si>
  <si>
    <t>CABINE INOX 1400/1300 STANDARD</t>
  </si>
  <si>
    <t>SEMI AUTOMATIC PORTE EPOXY 70/80</t>
  </si>
  <si>
    <t>SEMI AUTOMATIC PORTE INOX 70/80</t>
  </si>
  <si>
    <t>OPERATEUR INOX ATERYA 90</t>
  </si>
  <si>
    <t>PORTE PALIERE AUTOMATIQUE INOX ATERYA 90</t>
  </si>
  <si>
    <t>PORTE PALIERE AUTOMATIQUE EPOXY ATERYA 90</t>
  </si>
  <si>
    <t>CABINE INOX 1400/1300 PERSONALISÉE</t>
  </si>
  <si>
    <t>ARCADE CABINE 1400/1300 + ARCADE CONTRE-POIDS + TIRANDS + COULISSEAUX GEARBOX</t>
  </si>
  <si>
    <t>ARCADE CABINE 1400/1300 + ARCADE CONTRE-POIDS + TIRANDS + COULISSEAUX GEARLESS</t>
  </si>
  <si>
    <t>IT.1</t>
  </si>
  <si>
    <t>IT.1-1</t>
  </si>
  <si>
    <t>IT.1-2</t>
  </si>
  <si>
    <t>IT.1-3</t>
  </si>
  <si>
    <t>IT.1-4</t>
  </si>
  <si>
    <t>IT.1-5</t>
  </si>
  <si>
    <t>IT.1-6</t>
  </si>
  <si>
    <t>IT.1-7</t>
  </si>
  <si>
    <t>IT.1-8</t>
  </si>
  <si>
    <t>IT.1-9</t>
  </si>
  <si>
    <t>IT.1-10</t>
  </si>
  <si>
    <t>IT.1-11</t>
  </si>
  <si>
    <t>IT.1-12</t>
  </si>
  <si>
    <t>IT.1-13</t>
  </si>
  <si>
    <t>IT.1-14</t>
  </si>
  <si>
    <t>IT.1-15</t>
  </si>
  <si>
    <t>IT.1-16</t>
  </si>
  <si>
    <t>IT.2</t>
  </si>
  <si>
    <t>IT.3</t>
  </si>
  <si>
    <t>IT.4</t>
  </si>
  <si>
    <t>IT.5</t>
  </si>
  <si>
    <t>IT.6</t>
  </si>
  <si>
    <t>IT.7</t>
  </si>
  <si>
    <t>IT.8</t>
  </si>
  <si>
    <t>IT.9</t>
  </si>
  <si>
    <t>IT.10</t>
  </si>
  <si>
    <t>IT.11</t>
  </si>
  <si>
    <t>IT.12</t>
  </si>
  <si>
    <t>IT.13</t>
  </si>
  <si>
    <t>IT.14</t>
  </si>
  <si>
    <t>IT.15</t>
  </si>
  <si>
    <t>IT.16</t>
  </si>
  <si>
    <t>IT.17</t>
  </si>
  <si>
    <t>IT.19</t>
  </si>
  <si>
    <t>IT.25</t>
  </si>
  <si>
    <t>IT.30</t>
  </si>
  <si>
    <t>IT.31</t>
  </si>
  <si>
    <t>IT.32</t>
  </si>
  <si>
    <t>IT.33</t>
  </si>
  <si>
    <t>IT.36</t>
  </si>
  <si>
    <t>IT.37</t>
  </si>
  <si>
    <t>IT.38</t>
  </si>
  <si>
    <t>IT.40</t>
  </si>
  <si>
    <t>IT.41</t>
  </si>
  <si>
    <t>IT.42</t>
  </si>
  <si>
    <t>IT.43</t>
  </si>
  <si>
    <t>IT.46</t>
  </si>
  <si>
    <t>IT.53</t>
  </si>
  <si>
    <t>IT.54</t>
  </si>
  <si>
    <t>IT.60</t>
  </si>
  <si>
    <t>IT.61</t>
  </si>
  <si>
    <t>IT.62</t>
  </si>
  <si>
    <t>IT.64</t>
  </si>
  <si>
    <t>IT.65</t>
  </si>
  <si>
    <t>IT.66</t>
  </si>
  <si>
    <t>IT.67</t>
  </si>
  <si>
    <t>IT.68</t>
  </si>
  <si>
    <t>IT.69</t>
  </si>
  <si>
    <t>IT.70</t>
  </si>
  <si>
    <t>IT.71</t>
  </si>
  <si>
    <t>IT.72</t>
  </si>
  <si>
    <t>IT.73</t>
  </si>
  <si>
    <t>IT.74</t>
  </si>
  <si>
    <t>IT.75</t>
  </si>
  <si>
    <t>IT.76</t>
  </si>
  <si>
    <t>IT.77</t>
  </si>
  <si>
    <t>IT.78</t>
  </si>
  <si>
    <t>IT.79</t>
  </si>
  <si>
    <t>IT.80</t>
  </si>
  <si>
    <t>IT.81</t>
  </si>
  <si>
    <t>IT.82</t>
  </si>
  <si>
    <t>IT.83</t>
  </si>
  <si>
    <t>IT.84</t>
  </si>
  <si>
    <t>IT.85</t>
  </si>
  <si>
    <t>IT.86</t>
  </si>
  <si>
    <t>IT.87</t>
  </si>
  <si>
    <t>IT.88</t>
  </si>
  <si>
    <t>IT.89</t>
  </si>
  <si>
    <t>IT.90</t>
  </si>
  <si>
    <t>IT.91</t>
  </si>
  <si>
    <t>IT.92</t>
  </si>
  <si>
    <t>IT.93</t>
  </si>
  <si>
    <t>IT.94</t>
  </si>
  <si>
    <t>IT.95</t>
  </si>
  <si>
    <t>IT.96</t>
  </si>
  <si>
    <t>IT.97</t>
  </si>
  <si>
    <t>IT.98</t>
  </si>
  <si>
    <t>IT.99</t>
  </si>
  <si>
    <t>IT.100</t>
  </si>
  <si>
    <t>IT.101</t>
  </si>
  <si>
    <t>IT.102</t>
  </si>
  <si>
    <t>IT.103</t>
  </si>
  <si>
    <t>IT.104</t>
  </si>
  <si>
    <t>IT.105</t>
  </si>
  <si>
    <t>IT.106</t>
  </si>
  <si>
    <t>IT.107</t>
  </si>
  <si>
    <t>IT.108</t>
  </si>
  <si>
    <t>IT.109</t>
  </si>
  <si>
    <t>IT.110</t>
  </si>
  <si>
    <t>IT.111</t>
  </si>
  <si>
    <t>IT.112</t>
  </si>
  <si>
    <t>IT.113</t>
  </si>
  <si>
    <t>IT.114</t>
  </si>
  <si>
    <t>IT.115</t>
  </si>
  <si>
    <t>IT.116</t>
  </si>
  <si>
    <t>IT.117</t>
  </si>
  <si>
    <t>IT.118</t>
  </si>
  <si>
    <t>IT.119</t>
  </si>
  <si>
    <t>IT.120</t>
  </si>
  <si>
    <t>IT.121</t>
  </si>
  <si>
    <t>IT.122</t>
  </si>
  <si>
    <t>IT.123</t>
  </si>
  <si>
    <t>IT.124</t>
  </si>
  <si>
    <t>IT.125</t>
  </si>
  <si>
    <t>IT.126</t>
  </si>
  <si>
    <t>IT.127</t>
  </si>
  <si>
    <t>IT.128</t>
  </si>
  <si>
    <t>IT.129</t>
  </si>
  <si>
    <t>IT.130</t>
  </si>
  <si>
    <t>IT.131</t>
  </si>
  <si>
    <t>IT.132</t>
  </si>
  <si>
    <t>IT.133</t>
  </si>
  <si>
    <t>IT.134</t>
  </si>
  <si>
    <t>IT.135</t>
  </si>
  <si>
    <t>IT.136</t>
  </si>
  <si>
    <t>DOOR AUTOMATIQUE PANORAMIQUE ATERYA 70/80/90</t>
  </si>
  <si>
    <t>IT.137</t>
  </si>
  <si>
    <t>OPERATEUR PANORAMIQUE ATERYA 70/80/90</t>
  </si>
  <si>
    <t>IT.138</t>
  </si>
  <si>
    <t>CARTE OPERATEUR</t>
  </si>
  <si>
    <t>IT.139</t>
  </si>
  <si>
    <t>IT.140</t>
  </si>
  <si>
    <t>IT.141</t>
  </si>
  <si>
    <t>IT.142</t>
  </si>
  <si>
    <t>PARACHUTE PROGRESSIF</t>
  </si>
  <si>
    <t>STEEL</t>
  </si>
  <si>
    <t>GALVA</t>
  </si>
  <si>
    <t>GUIDE RAIL 90</t>
  </si>
  <si>
    <t>GARNITURE COULISSEAU 50</t>
  </si>
  <si>
    <t>GARNITURE COULISSEAU 70</t>
  </si>
  <si>
    <t>SUPPORT CABLE SOUPLE TYPE RECTANGLE</t>
  </si>
  <si>
    <t>Réf IT</t>
  </si>
  <si>
    <t>Désignation FR normalisée</t>
  </si>
  <si>
    <t>Dimension / Type</t>
  </si>
  <si>
    <t>Matière</t>
  </si>
  <si>
    <t>Prix $</t>
  </si>
  <si>
    <t>Support classique 60×60</t>
  </si>
  <si>
    <t>PATE</t>
  </si>
  <si>
    <t>ACIER GALVA</t>
  </si>
  <si>
    <t>Support classique 60×80</t>
  </si>
  <si>
    <t>Coulisseau rail 50</t>
  </si>
  <si>
    <t>T50</t>
  </si>
  <si>
    <t>Coulisseau rail 70</t>
  </si>
  <si>
    <t>T70</t>
  </si>
  <si>
    <t>Coulisseau rail 90</t>
  </si>
  <si>
    <t>T90</t>
  </si>
  <si>
    <t>Boulon 8×30</t>
  </si>
  <si>
    <t>–</t>
  </si>
  <si>
    <t>ACIER</t>
  </si>
  <si>
    <t>Boulon 12×25</t>
  </si>
  <si>
    <t>Boulon 12×40</t>
  </si>
  <si>
    <t>Boulon 14×70</t>
  </si>
  <si>
    <t>Cheville métallique 12×100</t>
  </si>
  <si>
    <t>Guide rail ascenseur 50</t>
  </si>
  <si>
    <t>Guide rail ascenseur 70</t>
  </si>
  <si>
    <t>Kit rail 50+70</t>
  </si>
  <si>
    <t>Guide rail ascenseur 90</t>
  </si>
  <si>
    <t>Garniture coulisseau 50</t>
  </si>
  <si>
    <t>POLYURÉTHANE</t>
  </si>
  <si>
    <t>Câble traction Ø10mm</t>
  </si>
  <si>
    <t>Câble régulateur Ø6mm</t>
  </si>
  <si>
    <t>Tige filetée Ø10mm</t>
  </si>
  <si>
    <t>Serre-câble Ø10mm</t>
  </si>
  <si>
    <t>Serre-câble Ø6mm</t>
  </si>
  <si>
    <t>Chaîne d’équilibrage 50kg</t>
  </si>
  <si>
    <t>Collecteur d’huile</t>
  </si>
  <si>
    <t>Boîte de lubrification</t>
  </si>
  <si>
    <t>Coulisseaux cabine</t>
  </si>
  <si>
    <t>Coulisseaux contre-poids</t>
  </si>
  <si>
    <t>Poulie renvoi 5×10</t>
  </si>
  <si>
    <t>Kit tampon cabine &amp; CP</t>
  </si>
  <si>
    <t>Complet</t>
  </si>
  <si>
    <t>Goulotte câble 40×40 (2m)</t>
  </si>
  <si>
    <t>PVC</t>
  </si>
  <si>
    <t>Tube spiralé Ø14mm</t>
  </si>
  <si>
    <t>Bouton cabine ascenseur 2M</t>
  </si>
  <si>
    <t>PLASTIQUE</t>
  </si>
  <si>
    <t>Bouton cabine ascenseur 1M</t>
  </si>
  <si>
    <t>Indicateur d’étage</t>
  </si>
  <si>
    <t>Boîte d’alarme</t>
  </si>
  <si>
    <t>Bouton de secours</t>
  </si>
  <si>
    <t>Interrupteur à galet</t>
  </si>
  <si>
    <t>Interrupteur de fin de course</t>
  </si>
  <si>
    <t>MOTEUR AKİŞ VOLPİ GEARLESS 3,9KW MAX4 MAX6 240*5*6,5MM 1,0M/S VVVF +ENCODEUR</t>
  </si>
  <si>
    <t>MOTEUR AKİŞ VOLPİ GEARLESS 4,9KW MAX8 MAX10 240*7*6,5MM 1,0M/S VVVF +ENCODEUR</t>
  </si>
  <si>
    <t>IT,14</t>
  </si>
  <si>
    <t>IT,15</t>
  </si>
  <si>
    <t>IT,16</t>
  </si>
  <si>
    <t>IT,17</t>
  </si>
  <si>
    <t>IT,19</t>
  </si>
  <si>
    <t>IT,21</t>
  </si>
  <si>
    <t>IT,22</t>
  </si>
  <si>
    <t>IT,23</t>
  </si>
  <si>
    <t>IT,24</t>
  </si>
  <si>
    <t>IT,25</t>
  </si>
  <si>
    <t>IT,26</t>
  </si>
  <si>
    <t>IT,27</t>
  </si>
  <si>
    <t>IT,28</t>
  </si>
  <si>
    <t>IT,29</t>
  </si>
  <si>
    <t>IT,30</t>
  </si>
  <si>
    <t>IT,31</t>
  </si>
  <si>
    <t>IT,32</t>
  </si>
  <si>
    <t>Câble gearless Ø6,5mm</t>
  </si>
  <si>
    <t>IT,33</t>
  </si>
  <si>
    <t>CABLE GEARLESS (6,5mm)</t>
  </si>
  <si>
    <t>IT,34</t>
  </si>
  <si>
    <t>IT,35</t>
  </si>
  <si>
    <t>Tige filetée Ø6,5mm</t>
  </si>
  <si>
    <t>IT,36</t>
  </si>
  <si>
    <t>TIRANDS 6,5MM</t>
  </si>
  <si>
    <t>IT,37</t>
  </si>
  <si>
    <t>Serre-câble Ø6,5–8mm</t>
  </si>
  <si>
    <t>IT,38</t>
  </si>
  <si>
    <t>SERRE CABLE DIAM 6,5mm *</t>
  </si>
  <si>
    <t>IT,39</t>
  </si>
  <si>
    <t>1,5kg</t>
  </si>
  <si>
    <t>IT,40</t>
  </si>
  <si>
    <t>IT,41</t>
  </si>
  <si>
    <t>IT,42</t>
  </si>
  <si>
    <t>IT,43</t>
  </si>
  <si>
    <t>IT,45</t>
  </si>
  <si>
    <t>IT,46</t>
  </si>
  <si>
    <t>IT,53</t>
  </si>
  <si>
    <t>IT,54</t>
  </si>
  <si>
    <t>BUFFER  CABIN/C,P / LES BOUDINS  SET COMPLET</t>
  </si>
  <si>
    <t>IT,55</t>
  </si>
  <si>
    <t>CABLE 0,75MM</t>
  </si>
  <si>
    <t>IT,56</t>
  </si>
  <si>
    <t>IT,57</t>
  </si>
  <si>
    <t>IT,58</t>
  </si>
  <si>
    <t>TTR CABLE 3*0,75MM</t>
  </si>
  <si>
    <t>IT,59</t>
  </si>
  <si>
    <t>IT,60</t>
  </si>
  <si>
    <t>IT,61</t>
  </si>
  <si>
    <t>IT,62</t>
  </si>
  <si>
    <t>IT,63</t>
  </si>
  <si>
    <t>REGULATEUR DE VITESSE VVVF 1,0M/S</t>
  </si>
  <si>
    <t>REGULATEUR DE VITESSE 2V  1,0M/S-0,8M/S</t>
  </si>
  <si>
    <t>AKİŞ ZF60 4KW MAX4 400*4*10 1M/S 51M TRAVEL D, GEARBOX VVVF MAX4</t>
  </si>
  <si>
    <t>AKİŞ VOLPİ VF2 5,5KW MAX6 MAX8 480*5*10 33M TRAVEL D, GEARBOX VVVF</t>
  </si>
  <si>
    <t>AKİŞ VOLPİ VF2 7,5KW MAX10 480*5*10 33M TRAVEL D, GEARBOX VVVF</t>
  </si>
  <si>
    <t>KLİPSLİ ÇELİK DÜBEL M-12*109</t>
  </si>
  <si>
    <t>6*6*18 KONSOL (4mm)</t>
  </si>
  <si>
    <t>6*8*18 KONSOL (4mm)</t>
  </si>
  <si>
    <t>ALUMİNYÜM PATEN  T50  - 5mm</t>
  </si>
  <si>
    <t>ALUMİNYÜM PATEN T70 - 9mm</t>
  </si>
  <si>
    <t>AĞIRLIK SAC PATENİ T50 - 5mm</t>
  </si>
  <si>
    <t>KABİN SAC PATENİ  T90 - 16mm</t>
  </si>
  <si>
    <t>MANTAR STOP</t>
  </si>
  <si>
    <t>ALARM BUTONU</t>
  </si>
  <si>
    <t>BATARYALI ALARM BUTONU</t>
  </si>
  <si>
    <t>MAKARALI SWİTCH</t>
  </si>
  <si>
    <t>PLASTİK PATEN T50 5mm</t>
  </si>
  <si>
    <t>Difference</t>
  </si>
  <si>
    <t>PREVIOUS PRICE</t>
  </si>
  <si>
    <t>ACTUAL PRICE</t>
  </si>
  <si>
    <t>TURKISH NAME</t>
  </si>
  <si>
    <t>OUR NAME</t>
  </si>
  <si>
    <t>OUR REF</t>
  </si>
  <si>
    <t>IN %</t>
  </si>
  <si>
    <t>Comment</t>
  </si>
  <si>
    <t>Without GRANITE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</si>
  <si>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</si>
  <si>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</si>
  <si>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</si>
  <si>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</si>
  <si>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</si>
  <si>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</si>
  <si>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</si>
  <si>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</si>
  <si>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</si>
  <si>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</si>
  <si>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</si>
  <si>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</si>
  <si>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</si>
  <si>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</si>
  <si>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</si>
  <si>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</si>
  <si>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</si>
  <si>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</si>
  <si>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</si>
  <si>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</si>
  <si>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</si>
  <si>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</si>
  <si>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</si>
  <si>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</si>
  <si>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</si>
  <si>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</si>
  <si>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</si>
  <si>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</si>
  <si>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</si>
  <si>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</si>
  <si>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CABINE INOX 1300/1200 STANDARD</t>
  </si>
  <si>
    <t>CABINE INOX 1300/1200 PERSONALISÉE</t>
  </si>
  <si>
    <t>IT.1-17</t>
  </si>
  <si>
    <t>IT.1-18</t>
  </si>
  <si>
    <t>IT.1-19</t>
  </si>
  <si>
    <t>IT.1-20</t>
  </si>
  <si>
    <t>IT.1-21</t>
  </si>
  <si>
    <t>IT.1-22</t>
  </si>
  <si>
    <t>IT.1-23</t>
  </si>
  <si>
    <t>STR1-1</t>
  </si>
  <si>
    <t>STR1-2</t>
  </si>
  <si>
    <t>STR1-3</t>
  </si>
  <si>
    <t>STR1-4</t>
  </si>
  <si>
    <t>STR2-1</t>
  </si>
  <si>
    <t>STR2-2</t>
  </si>
  <si>
    <t>STR2-3</t>
  </si>
  <si>
    <t>STR2-4</t>
  </si>
  <si>
    <t>STR3-1</t>
  </si>
  <si>
    <t>STR3-2</t>
  </si>
  <si>
    <t>STR3-3</t>
  </si>
  <si>
    <t>STR3-4</t>
  </si>
  <si>
    <t>STR4-1</t>
  </si>
  <si>
    <t>STR4-2</t>
  </si>
  <si>
    <t>STR4-3</t>
  </si>
  <si>
    <t>STR4-4</t>
  </si>
  <si>
    <t>STR5-1</t>
  </si>
  <si>
    <t>STR5-2</t>
  </si>
  <si>
    <t>STR5-3</t>
  </si>
  <si>
    <t>STR5-4</t>
  </si>
  <si>
    <t>STR6-1</t>
  </si>
  <si>
    <t>STR6-2</t>
  </si>
  <si>
    <t>STR6-3</t>
  </si>
  <si>
    <t>STR6-4</t>
  </si>
  <si>
    <t>STR7-1</t>
  </si>
  <si>
    <t>STR7-2</t>
  </si>
  <si>
    <t>STR7-3</t>
  </si>
  <si>
    <t>STR7-4</t>
  </si>
  <si>
    <t>STRUCTURE</t>
  </si>
  <si>
    <t>HAB1</t>
  </si>
  <si>
    <t>HAB2</t>
  </si>
  <si>
    <t>HAB3</t>
  </si>
  <si>
    <t>M²</t>
  </si>
  <si>
    <t>IT.18</t>
  </si>
  <si>
    <t>IT.20</t>
  </si>
  <si>
    <t>IT.21</t>
  </si>
  <si>
    <t>IT.22</t>
  </si>
  <si>
    <t>IT.23</t>
  </si>
  <si>
    <t>IT.24</t>
  </si>
  <si>
    <t>IT.26</t>
  </si>
  <si>
    <t>IT.27</t>
  </si>
  <si>
    <t>IT.28</t>
  </si>
  <si>
    <t>IT.29</t>
  </si>
  <si>
    <t>IT.34</t>
  </si>
  <si>
    <t>IT.35</t>
  </si>
  <si>
    <t>IT.39</t>
  </si>
  <si>
    <t>IT.44</t>
  </si>
  <si>
    <t>IT.45</t>
  </si>
  <si>
    <t>IT.47</t>
  </si>
  <si>
    <t>IT.48</t>
  </si>
  <si>
    <t>IT.49</t>
  </si>
  <si>
    <t>IT.50</t>
  </si>
  <si>
    <t>IT.51</t>
  </si>
  <si>
    <t>IT.52</t>
  </si>
  <si>
    <t>IT.55</t>
  </si>
  <si>
    <t>IT.56</t>
  </si>
  <si>
    <t>IT.57</t>
  </si>
  <si>
    <t>IT.58</t>
  </si>
  <si>
    <t>IT.59</t>
  </si>
  <si>
    <t>IT.63</t>
  </si>
  <si>
    <t>1400$</t>
  </si>
  <si>
    <t>150$</t>
  </si>
  <si>
    <t>PERSONALISATION</t>
  </si>
  <si>
    <t>FROM 900 TO 1200 CABIN + ARCADES</t>
  </si>
  <si>
    <t>HYDRAULIQUE</t>
  </si>
  <si>
    <t>HYD2-1</t>
  </si>
  <si>
    <t>SET SYSTÈME HYDRAULIQUE MAX4 GMV 0,62M/S 10M COURSE (4 NIVEAUX)</t>
  </si>
  <si>
    <t>HYD2-2</t>
  </si>
  <si>
    <t>SET SYSTÈME HYDRAULIQUE MAX4 GMV 0,62M/S 7M COURSE (3 NIVEAUX)</t>
  </si>
  <si>
    <t>HYD2-3</t>
  </si>
  <si>
    <t>SET SYSTÈME HYDRAULIQUE MAX4 GMV 0,62M/S 4M COURSE (2 NIVEAUX)</t>
  </si>
  <si>
    <t>HYD3</t>
  </si>
  <si>
    <t>SET COMPOSANTES ELECTRIQUES POUR SYSTEME HYDRAULIQUE</t>
  </si>
  <si>
    <t>HYD4</t>
  </si>
  <si>
    <t>HUILE HYDRAULIQUE</t>
  </si>
  <si>
    <t>L</t>
  </si>
  <si>
    <t>HYD1-1</t>
  </si>
  <si>
    <t>HYD1-2</t>
  </si>
  <si>
    <t>HYD1-3</t>
  </si>
  <si>
    <t>SET SYSTÈME HYDRAULIQUE MAX4 STANDARD 0,15M/S 10M COURSE (4 NIVEAUX)</t>
  </si>
  <si>
    <t>SET SYSTÈME HYDRAULIQUE MAX4 STANDARD 0,15M/S 4M COURSE (2 NIVEAUX)</t>
  </si>
  <si>
    <t>SET SYSTÈME HYDRAULIQUE MAX4 STANDARD 0,15M/S 7M COURSE (3 NIVEAUX)</t>
  </si>
  <si>
    <t>IT.143</t>
  </si>
  <si>
    <t>BOUTON DE CABINE TACTILE</t>
  </si>
  <si>
    <t>IT.144</t>
  </si>
  <si>
    <t>BOUTON PALIERE TACTILE</t>
  </si>
  <si>
    <t>IT.145</t>
  </si>
  <si>
    <t xml:space="preserve">PORTE CABINE BUS </t>
  </si>
  <si>
    <t>IT.146</t>
  </si>
  <si>
    <t xml:space="preserve">LEAR POMPE </t>
  </si>
  <si>
    <t>CABINE  1000/900 PANORAMIQUE</t>
  </si>
  <si>
    <t>CABINE  1100/1000 PANORAMIQUE</t>
  </si>
  <si>
    <t>CABINE  1200/1100 PANORAMIQUE</t>
  </si>
  <si>
    <t>CABINE  1300/1200 PANORAMIQUE</t>
  </si>
  <si>
    <t>CABINE  1400/1300 PANORAMIQUE</t>
  </si>
  <si>
    <t>SET ARCADE TYPE L VVVF 2V</t>
  </si>
  <si>
    <t>SET ARCADE TYPE L GEARLESS</t>
  </si>
  <si>
    <t>SET BRACKET U</t>
  </si>
  <si>
    <t>SET BRACKET TYPE L</t>
  </si>
  <si>
    <t>MOTEUR MONTANARI 2V MAX4</t>
  </si>
  <si>
    <t>MOTEUR MONTANARI 2V MAX6</t>
  </si>
  <si>
    <t>MOTEUR MONTANARI 2V MAX8</t>
  </si>
  <si>
    <t>MOTEUR MONTANARI 2V MAX10</t>
  </si>
  <si>
    <t>MOTEUR MONTANARI VVVF MAX4</t>
  </si>
  <si>
    <t>MOTEUR MONTANARI VVVF MAX6</t>
  </si>
  <si>
    <t>MOTEUR MONTANARI VVVF MAX8</t>
  </si>
  <si>
    <t>MOTEUR MONTANARI VVVF MAX10</t>
  </si>
  <si>
    <t>MOTEUR MONTANARI GEARLESS MAX4</t>
  </si>
  <si>
    <t>MOTEUR MONTANARI GEARLESS MAX6</t>
  </si>
  <si>
    <t>MOTEUR MONTANARI GEARLESS MAX8</t>
  </si>
  <si>
    <t>MOTEUR MONTANARI GEARLESS MAX10</t>
  </si>
  <si>
    <t>MOTEUR GEM 2V MAX4</t>
  </si>
  <si>
    <t>MOTEUR GEM 2V MAX6</t>
  </si>
  <si>
    <t>MOTEUR GEM 2V MAX8</t>
  </si>
  <si>
    <t>MOTEUR GEM 2V MAX10</t>
  </si>
  <si>
    <t>MOTEUR GEM VVVF MAX4</t>
  </si>
  <si>
    <t>MOTEUR GEM VVVF MAX6</t>
  </si>
  <si>
    <t>MOTEUR GEM VVVF MAX8</t>
  </si>
  <si>
    <t>MOTEUR GEM VVVF MAX10</t>
  </si>
  <si>
    <t>MOTEUR GEM GEARLESS MAX4</t>
  </si>
  <si>
    <t>MOTEUR GEM GEARLESS MAX6</t>
  </si>
  <si>
    <t>MOTEUR GEM GEARLESS MAX8</t>
  </si>
  <si>
    <t>MOTEUR GEM GEARLESS MAX10</t>
  </si>
  <si>
    <t>SET STRUCTURE 1300 X 1300 2 ETAGES EP 4MM</t>
  </si>
  <si>
    <t>SET STRUCTURE 1400 X 1400 2 ETAGES EP 4MM</t>
  </si>
  <si>
    <t>SET STRUCTURE 1500 X 1500 2 ETAGES EP 4MM</t>
  </si>
  <si>
    <t>SET STRUCTURE 1600 X 1600 2 ETAGES EP 4MM</t>
  </si>
  <si>
    <t>SET STRUCTURE 1300 X 1300 3 ETAGES EP 4MM</t>
  </si>
  <si>
    <t>SET STRUCTURE 1400 X 1400 3 ETAGES EP 4MM</t>
  </si>
  <si>
    <t>SET STRUCTURE 1500 X 1500 3 ETAGES EP 4MM</t>
  </si>
  <si>
    <t>SET STRUCTURE 1600 X 1600 3 ETAGES EP 4MM</t>
  </si>
  <si>
    <t>SET STRUCTURE 1300 X 1300 4 ETAGES EP 4MM</t>
  </si>
  <si>
    <t>SET STRUCTURE 1400 X 1400 4 ETAGES EP 4MM</t>
  </si>
  <si>
    <t>SET STRUCTURE 1500 X 1500 4 ETAGES EP 4MM</t>
  </si>
  <si>
    <t>SET STRUCTURE 1600 X 1600 4 ETAGES EP 4MM</t>
  </si>
  <si>
    <t>SET STRUCTURE 1300 X 1300 5 ETAGES EP 4MM</t>
  </si>
  <si>
    <t>SET STRUCTURE 1400 X 1400 5 ETAGES EP 4MM</t>
  </si>
  <si>
    <t>SET STRUCTURE 1500 X 1500 5 ETAGES EP 4MM</t>
  </si>
  <si>
    <t>SET STRUCTURE 1600 X 1600 5 ETAGES EP 4MM</t>
  </si>
  <si>
    <t>SET STRUCTURE 1300 X 1300 6 ETAGES EP 4MM</t>
  </si>
  <si>
    <t>SET STRUCTURE 1400 X 1400 6 ETAGES EP 4MM</t>
  </si>
  <si>
    <t>SET STRUCTURE 1500 X 1500 6 ETAGES EP 4MM</t>
  </si>
  <si>
    <t>SET STRUCTURE 1600 X 1600 6 ETAGES EP 4MM</t>
  </si>
  <si>
    <t>SET STRUCTURE 1300 X 1300 7 ETAGES EP 4MM</t>
  </si>
  <si>
    <t>SET STRUCTURE 1400 X 1400 7 ETAGES EP 4MM</t>
  </si>
  <si>
    <t>SET STRUCTURE 1500 X 1500 7 ETAGES EP 4MM</t>
  </si>
  <si>
    <t>SET STRUCTURE 1600 X 1600 7 ETAGES EP 4MM</t>
  </si>
  <si>
    <t>SET STRUCTURE 1300 X 1300 8 ETAGES EP 4MM</t>
  </si>
  <si>
    <t>SET STRUCTURE 1400 X 1400 8 ETAGES EP 4MM</t>
  </si>
  <si>
    <t>SET STRUCTURE 1500 X 1500 8 ETAGES EP 4MM</t>
  </si>
  <si>
    <t>SET STRUCTURE 1600 X 1600 8 ETAGES EP 4MM</t>
  </si>
  <si>
    <t>PANORAMIQUE SET STRUCTURE VERRE TREMPE 8MM BLANC</t>
  </si>
  <si>
    <t>PANORAMIQUE SET STRUCTURE VERRE TREMPE 8MM FUME</t>
  </si>
  <si>
    <t>HABILLAGE OPAQUE EN ALUCOBOND</t>
  </si>
  <si>
    <t>OIL</t>
  </si>
  <si>
    <t>CONCRETE</t>
  </si>
  <si>
    <t>COPPER</t>
  </si>
  <si>
    <t>VERRE</t>
  </si>
  <si>
    <t>ALU</t>
  </si>
  <si>
    <t>Frais de Port et agent maritime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</si>
</sst>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[$MAD]\ * #,##0.00_);_([$MAD]\ * \(#,##0.00\);_([$MAD]\ * &quot;-&quot;??_);_(@_)"/>
    <numFmt numFmtId="166" formatCode="_(&quot;$&quot;* #,##0.000_);_(&quot;$&quot;* \(#,##0.000\);_(&quot;$&quot;* &quot;-&quot;??_);_(@_)"/>
    <numFmt numFmtId="167" formatCode="_-* #,##0.00\ _€_-;\-* #,##0.00\ _€_-;_-* &quot;-&quot;??\ _€_-;_-@_-"/>
    <numFmt numFmtId="168" formatCode="_-[$$-409]* #,##0.00_ ;_-[$$-409]* \-#,##0.00\ ;_-[$$-409]* &quot;-&quot;??_ ;_-@_ "/>
    <numFmt numFmtId="169" formatCode="_-* #,##0_-;\-* #,##0_-;_-* &quot;-&quot;??_-;_-@_-"/>
    <numFmt numFmtId="170" formatCode="_-* #,##0.00\ [$MAD]_-;\-* #,##0.00\ [$MAD]_-;_-* &quot;-&quot;??\ [$MAD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/>
    <xf numFmtId="0" fontId="3" fillId="4" borderId="12" xfId="0" applyFont="1" applyFill="1" applyBorder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4" fillId="3" borderId="0" xfId="0" applyFont="1" applyFill="1"/>
    <xf numFmtId="0" fontId="4" fillId="0" borderId="1" xfId="0" applyFont="1" applyBorder="1" applyAlignment="1">
      <alignment vertical="center"/>
    </xf>
    <xf numFmtId="0" fontId="5" fillId="5" borderId="1" xfId="0" applyFont="1" applyFill="1" applyBorder="1"/>
    <xf numFmtId="0" fontId="5" fillId="5" borderId="2" xfId="0" applyFont="1" applyFill="1" applyBorder="1"/>
    <xf numFmtId="0" fontId="4" fillId="0" borderId="1" xfId="0" applyFont="1" applyBorder="1" applyAlignment="1">
      <alignment horizontal="center"/>
    </xf>
    <xf numFmtId="0" fontId="4" fillId="6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5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4" fillId="3" borderId="14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7" fillId="7" borderId="37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40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17" xfId="0" applyBorder="1" applyAlignment="1">
      <alignment horizontal="center" vertical="center" wrapText="1"/>
    </xf>
    <xf numFmtId="0" fontId="6" fillId="8" borderId="36" xfId="0" applyFont="1" applyFill="1" applyBorder="1"/>
    <xf numFmtId="0" fontId="11" fillId="0" borderId="0" xfId="0" applyFont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0" fontId="6" fillId="8" borderId="38" xfId="0" applyFont="1" applyFill="1" applyBorder="1"/>
    <xf numFmtId="0" fontId="6" fillId="8" borderId="39" xfId="0" applyFont="1" applyFill="1" applyBorder="1"/>
    <xf numFmtId="164" fontId="5" fillId="0" borderId="14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164" fontId="5" fillId="0" borderId="1" xfId="1" applyFont="1" applyBorder="1" applyAlignment="1">
      <alignment vertical="center"/>
    </xf>
    <xf numFmtId="164" fontId="5" fillId="0" borderId="9" xfId="1" applyFont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66" fontId="5" fillId="0" borderId="5" xfId="1" applyNumberFormat="1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43" fontId="0" fillId="0" borderId="0" xfId="2" applyFont="1" applyBorder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43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22" xfId="0" applyNumberFormat="1" applyBorder="1" applyAlignment="1">
      <alignment vertical="center"/>
    </xf>
    <xf numFmtId="165" fontId="0" fillId="0" borderId="24" xfId="0" applyNumberForma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41" xfId="0" applyNumberFormat="1" applyBorder="1" applyAlignment="1">
      <alignment vertical="center"/>
    </xf>
    <xf numFmtId="0" fontId="1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65" fontId="0" fillId="0" borderId="13" xfId="0" applyNumberFormat="1" applyBorder="1" applyAlignment="1">
      <alignment vertical="center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14" xfId="1" applyFont="1" applyBorder="1" applyAlignment="1">
      <alignment vertical="center"/>
    </xf>
    <xf numFmtId="168" fontId="0" fillId="0" borderId="0" xfId="0" applyNumberFormat="1"/>
    <xf numFmtId="168" fontId="0" fillId="0" borderId="0" xfId="0" applyNumberFormat="1" applyAlignment="1">
      <alignment horizontal="right" vertical="center"/>
    </xf>
    <xf numFmtId="0" fontId="0" fillId="0" borderId="17" xfId="0" applyBorder="1"/>
    <xf numFmtId="167" fontId="0" fillId="0" borderId="0" xfId="0" applyNumberFormat="1" applyAlignment="1">
      <alignment horizontal="center"/>
    </xf>
    <xf numFmtId="2" fontId="0" fillId="0" borderId="0" xfId="2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43" fontId="0" fillId="10" borderId="0" xfId="2" applyFont="1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0" fillId="0" borderId="36" xfId="0" applyBorder="1" applyAlignment="1">
      <alignment vertical="center"/>
    </xf>
    <xf numFmtId="0" fontId="0" fillId="0" borderId="36" xfId="0" applyBorder="1"/>
    <xf numFmtId="0" fontId="0" fillId="2" borderId="0" xfId="0" applyFill="1" applyAlignment="1">
      <alignment vertical="center"/>
    </xf>
    <xf numFmtId="0" fontId="0" fillId="10" borderId="36" xfId="0" applyFill="1" applyBorder="1"/>
    <xf numFmtId="0" fontId="0" fillId="0" borderId="3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48" xfId="0" applyBorder="1" applyAlignment="1">
      <alignment horizontal="center" vertical="center" wrapText="1"/>
    </xf>
    <xf numFmtId="164" fontId="5" fillId="0" borderId="48" xfId="1" applyFont="1" applyBorder="1" applyAlignment="1">
      <alignment vertical="center"/>
    </xf>
    <xf numFmtId="0" fontId="0" fillId="0" borderId="48" xfId="0" applyBorder="1" applyAlignment="1">
      <alignment horizontal="center" vertical="center"/>
    </xf>
    <xf numFmtId="164" fontId="5" fillId="0" borderId="48" xfId="1" applyFont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66" fontId="5" fillId="0" borderId="48" xfId="1" applyNumberFormat="1" applyFont="1" applyBorder="1" applyAlignment="1">
      <alignment horizontal="center" vertical="center"/>
    </xf>
    <xf numFmtId="0" fontId="0" fillId="0" borderId="48" xfId="0" applyBorder="1" applyAlignment="1">
      <alignment horizontal="left" vertical="center" wrapText="1"/>
    </xf>
    <xf numFmtId="0" fontId="0" fillId="0" borderId="48" xfId="0" applyBorder="1" applyAlignment="1">
      <alignment horizontal="left"/>
    </xf>
    <xf numFmtId="0" fontId="11" fillId="0" borderId="48" xfId="0" applyFont="1" applyBorder="1" applyAlignment="1">
      <alignment horizontal="center" vertical="center"/>
    </xf>
    <xf numFmtId="0" fontId="0" fillId="3" borderId="48" xfId="0" applyFill="1" applyBorder="1" applyAlignment="1">
      <alignment horizontal="left" vertical="center" wrapText="1"/>
    </xf>
    <xf numFmtId="164" fontId="5" fillId="10" borderId="48" xfId="1" applyFont="1" applyFill="1" applyBorder="1" applyAlignment="1">
      <alignment horizontal="center" vertical="center"/>
    </xf>
    <xf numFmtId="0" fontId="0" fillId="0" borderId="48" xfId="0" applyBorder="1" applyAlignment="1">
      <alignment vertical="center"/>
    </xf>
    <xf numFmtId="9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0" fillId="11" borderId="0" xfId="0" applyFill="1" applyAlignment="1">
      <alignment vertical="center"/>
    </xf>
    <xf numFmtId="0" fontId="0" fillId="11" borderId="0" xfId="0" applyFill="1"/>
    <xf numFmtId="167" fontId="0" fillId="11" borderId="0" xfId="0" applyNumberFormat="1" applyFill="1" applyAlignment="1">
      <alignment vertical="center"/>
    </xf>
    <xf numFmtId="169" fontId="0" fillId="0" borderId="0" xfId="2" applyNumberFormat="1" applyFont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48" xfId="0" applyFill="1" applyBorder="1"/>
    <xf numFmtId="164" fontId="5" fillId="0" borderId="48" xfId="1" applyFont="1" applyFill="1" applyBorder="1" applyAlignment="1">
      <alignment horizontal="center" vertical="center"/>
    </xf>
    <xf numFmtId="164" fontId="5" fillId="0" borderId="48" xfId="1" applyFont="1" applyFill="1" applyBorder="1" applyAlignment="1">
      <alignment vertical="center"/>
    </xf>
    <xf numFmtId="166" fontId="5" fillId="0" borderId="48" xfId="1" applyNumberFormat="1" applyFont="1" applyFill="1" applyBorder="1" applyAlignment="1">
      <alignment horizontal="center" vertical="center"/>
    </xf>
    <xf numFmtId="164" fontId="5" fillId="10" borderId="48" xfId="1" quotePrefix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43" fontId="0" fillId="10" borderId="0" xfId="2" applyFont="1" applyFill="1" applyBorder="1" applyAlignment="1">
      <alignment horizontal="center" vertical="center"/>
    </xf>
    <xf numFmtId="165" fontId="2" fillId="10" borderId="0" xfId="0" applyNumberFormat="1" applyFon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vertical="center"/>
    </xf>
    <xf numFmtId="43" fontId="0" fillId="10" borderId="0" xfId="0" applyNumberFormat="1" applyFill="1" applyAlignment="1">
      <alignment vertical="center"/>
    </xf>
    <xf numFmtId="167" fontId="0" fillId="10" borderId="0" xfId="0" applyNumberFormat="1" applyFill="1" applyAlignment="1">
      <alignment vertical="center"/>
    </xf>
    <xf numFmtId="0" fontId="2" fillId="10" borderId="0" xfId="0" applyFont="1" applyFill="1"/>
    <xf numFmtId="0" fontId="0" fillId="10" borderId="0" xfId="0" applyFill="1"/>
    <xf numFmtId="0" fontId="0" fillId="10" borderId="48" xfId="0" applyFill="1" applyBorder="1" applyAlignment="1">
      <alignment horizontal="left" vertical="center" wrapText="1"/>
    </xf>
    <xf numFmtId="0" fontId="0" fillId="10" borderId="48" xfId="0" applyFill="1" applyBorder="1" applyAlignment="1">
      <alignment horizontal="center"/>
    </xf>
    <xf numFmtId="0" fontId="0" fillId="10" borderId="48" xfId="0" applyFill="1" applyBorder="1" applyAlignment="1">
      <alignment horizontal="center" vertical="center"/>
    </xf>
    <xf numFmtId="2" fontId="0" fillId="0" borderId="0" xfId="0" applyNumberFormat="1"/>
    <xf numFmtId="170" fontId="2" fillId="0" borderId="0" xfId="0" applyNumberFormat="1" applyFont="1" applyAlignment="1">
      <alignment horizontal="center"/>
    </xf>
    <xf numFmtId="0" fontId="0" fillId="0" borderId="48" xfId="0" applyBorder="1" applyAlignment="1">
      <alignment horizontal="left" vertical="center"/>
    </xf>
    <xf numFmtId="0" fontId="0" fillId="2" borderId="0" xfId="0" applyFill="1"/>
    <xf numFmtId="167" fontId="0" fillId="0" borderId="0" xfId="0" applyNumberFormat="1"/>
    <xf numFmtId="0" fontId="0" fillId="0" borderId="1" xfId="0" applyBorder="1" applyAlignment="1">
      <alignment horizontal="left"/>
    </xf>
    <xf numFmtId="164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6" fontId="5" fillId="0" borderId="1" xfId="1" applyNumberFormat="1" applyFont="1" applyFill="1" applyBorder="1" applyAlignment="1">
      <alignment horizontal="center" vertical="center"/>
    </xf>
    <xf numFmtId="167" fontId="2" fillId="0" borderId="1" xfId="0" applyNumberFormat="1" applyFont="1" applyBorder="1"/>
    <xf numFmtId="9" fontId="2" fillId="0" borderId="0" xfId="3" applyFon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5" fillId="0" borderId="48" xfId="1" quotePrefix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8" xfId="0" applyFill="1" applyBorder="1" applyAlignment="1">
      <alignment horizontal="left" vertical="center" wrapText="1"/>
    </xf>
    <xf numFmtId="164" fontId="5" fillId="2" borderId="48" xfId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4" applyFont="1" applyAlignment="1">
      <alignment horizontal="left"/>
    </xf>
    <xf numFmtId="0" fontId="0" fillId="2" borderId="48" xfId="0" applyFill="1" applyBorder="1" applyAlignment="1">
      <alignment horizontal="center"/>
    </xf>
    <xf numFmtId="0" fontId="0" fillId="0" borderId="48" xfId="0" quotePrefix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48" xfId="0" applyFill="1" applyBorder="1" applyAlignment="1">
      <alignment horizontal="left"/>
    </xf>
    <xf numFmtId="0" fontId="0" fillId="10" borderId="48" xfId="0" applyFill="1" applyBorder="1" applyAlignment="1">
      <alignment horizontal="center" vertical="center" wrapText="1"/>
    </xf>
    <xf numFmtId="0" fontId="11" fillId="10" borderId="48" xfId="0" applyFont="1" applyFill="1" applyBorder="1" applyAlignment="1">
      <alignment horizontal="center" vertical="center"/>
    </xf>
    <xf numFmtId="0" fontId="17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7" xfId="0" applyBorder="1" applyAlignment="1">
      <alignment horizontal="center" vertical="center" textRotation="90"/>
    </xf>
    <xf numFmtId="0" fontId="0" fillId="0" borderId="40" xfId="0" applyBorder="1" applyAlignment="1">
      <alignment horizontal="center" vertical="center" textRotation="90"/>
    </xf>
    <xf numFmtId="0" fontId="0" fillId="0" borderId="32" xfId="0" applyBorder="1" applyAlignment="1">
      <alignment horizontal="center" vertical="center" textRotation="90"/>
    </xf>
    <xf numFmtId="165" fontId="0" fillId="0" borderId="22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3" fillId="0" borderId="46" xfId="1" applyFont="1" applyBorder="1" applyAlignment="1">
      <alignment horizontal="center" vertical="center"/>
    </xf>
    <xf numFmtId="164" fontId="3" fillId="0" borderId="47" xfId="1" applyFont="1" applyBorder="1" applyAlignment="1">
      <alignment horizontal="center" vertical="center"/>
    </xf>
    <xf numFmtId="164" fontId="3" fillId="0" borderId="45" xfId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 textRotation="90"/>
    </xf>
    <xf numFmtId="0" fontId="3" fillId="9" borderId="19" xfId="0" applyFont="1" applyFill="1" applyBorder="1" applyAlignment="1">
      <alignment horizontal="center" vertical="center" textRotation="90"/>
    </xf>
    <xf numFmtId="0" fontId="3" fillId="9" borderId="20" xfId="0" applyFont="1" applyFill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46" xfId="1" applyNumberFormat="1" applyFont="1" applyBorder="1" applyAlignment="1">
      <alignment horizontal="center" vertical="center"/>
    </xf>
    <xf numFmtId="0" fontId="3" fillId="0" borderId="47" xfId="1" applyNumberFormat="1" applyFont="1" applyBorder="1" applyAlignment="1">
      <alignment horizontal="center" vertical="center"/>
    </xf>
    <xf numFmtId="0" fontId="3" fillId="0" borderId="45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5">
    <cellStyle name="Milliers" xfId="2" builtinId="3"/>
    <cellStyle name="Monétaire" xfId="1" builtinId="4"/>
    <cellStyle name="Normal" xfId="0" builtinId="0"/>
    <cellStyle name="Normal 2" xfId="4" xr:uid="{903ED455-A0E4-4A5F-8DA8-DA834F5B4C90}"/>
    <cellStyle name="Pourcentage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jpeg"/><Relationship Id="rId18" Type="http://schemas.openxmlformats.org/officeDocument/2006/relationships/image" Target="../media/image22.jpeg"/><Relationship Id="rId26" Type="http://schemas.openxmlformats.org/officeDocument/2006/relationships/image" Target="../media/image29.png"/><Relationship Id="rId39" Type="http://schemas.openxmlformats.org/officeDocument/2006/relationships/image" Target="../media/image37.jpeg"/><Relationship Id="rId21" Type="http://schemas.openxmlformats.org/officeDocument/2006/relationships/image" Target="../media/image25.jpeg"/><Relationship Id="rId34" Type="http://schemas.openxmlformats.org/officeDocument/2006/relationships/image" Target="../media/image34.png"/><Relationship Id="rId42" Type="http://schemas.openxmlformats.org/officeDocument/2006/relationships/image" Target="../media/image39.png"/><Relationship Id="rId47" Type="http://schemas.microsoft.com/office/2007/relationships/hdphoto" Target="../media/hdphoto10.wdp"/><Relationship Id="rId50" Type="http://schemas.openxmlformats.org/officeDocument/2006/relationships/image" Target="../media/image43.jpeg"/><Relationship Id="rId55" Type="http://schemas.microsoft.com/office/2007/relationships/hdphoto" Target="../media/hdphoto13.wdp"/><Relationship Id="rId7" Type="http://schemas.openxmlformats.org/officeDocument/2006/relationships/image" Target="../media/image11.jpeg"/><Relationship Id="rId2" Type="http://schemas.openxmlformats.org/officeDocument/2006/relationships/image" Target="../media/image6.jpeg"/><Relationship Id="rId16" Type="http://schemas.openxmlformats.org/officeDocument/2006/relationships/image" Target="../media/image20.png"/><Relationship Id="rId29" Type="http://schemas.microsoft.com/office/2007/relationships/hdphoto" Target="../media/hdphoto2.wdp"/><Relationship Id="rId11" Type="http://schemas.openxmlformats.org/officeDocument/2006/relationships/image" Target="../media/image15.jpeg"/><Relationship Id="rId24" Type="http://schemas.openxmlformats.org/officeDocument/2006/relationships/image" Target="../media/image27.jpeg"/><Relationship Id="rId32" Type="http://schemas.openxmlformats.org/officeDocument/2006/relationships/image" Target="../media/image33.png"/><Relationship Id="rId37" Type="http://schemas.microsoft.com/office/2007/relationships/hdphoto" Target="../media/hdphoto6.wdp"/><Relationship Id="rId40" Type="http://schemas.openxmlformats.org/officeDocument/2006/relationships/image" Target="../media/image38.png"/><Relationship Id="rId45" Type="http://schemas.microsoft.com/office/2007/relationships/hdphoto" Target="../media/hdphoto9.wdp"/><Relationship Id="rId53" Type="http://schemas.microsoft.com/office/2007/relationships/hdphoto" Target="../media/hdphoto12.wdp"/><Relationship Id="rId58" Type="http://schemas.openxmlformats.org/officeDocument/2006/relationships/image" Target="../media/image48.png"/><Relationship Id="rId5" Type="http://schemas.openxmlformats.org/officeDocument/2006/relationships/image" Target="../media/image9.png"/><Relationship Id="rId19" Type="http://schemas.openxmlformats.org/officeDocument/2006/relationships/image" Target="../media/image23.jpeg"/><Relationship Id="rId4" Type="http://schemas.openxmlformats.org/officeDocument/2006/relationships/image" Target="../media/image8.jpeg"/><Relationship Id="rId9" Type="http://schemas.openxmlformats.org/officeDocument/2006/relationships/image" Target="../media/image13.jpeg"/><Relationship Id="rId14" Type="http://schemas.openxmlformats.org/officeDocument/2006/relationships/image" Target="../media/image18.jpeg"/><Relationship Id="rId22" Type="http://schemas.openxmlformats.org/officeDocument/2006/relationships/image" Target="../media/image26.png"/><Relationship Id="rId27" Type="http://schemas.openxmlformats.org/officeDocument/2006/relationships/image" Target="../media/image30.jpeg"/><Relationship Id="rId30" Type="http://schemas.openxmlformats.org/officeDocument/2006/relationships/image" Target="../media/image32.png"/><Relationship Id="rId35" Type="http://schemas.microsoft.com/office/2007/relationships/hdphoto" Target="../media/hdphoto5.wdp"/><Relationship Id="rId43" Type="http://schemas.microsoft.com/office/2007/relationships/hdphoto" Target="../media/hdphoto8.wdp"/><Relationship Id="rId48" Type="http://schemas.openxmlformats.org/officeDocument/2006/relationships/image" Target="../media/image42.png"/><Relationship Id="rId56" Type="http://schemas.openxmlformats.org/officeDocument/2006/relationships/image" Target="../media/image47.png"/><Relationship Id="rId8" Type="http://schemas.openxmlformats.org/officeDocument/2006/relationships/image" Target="../media/image12.jpeg"/><Relationship Id="rId51" Type="http://schemas.openxmlformats.org/officeDocument/2006/relationships/image" Target="../media/image44.jpeg"/><Relationship Id="rId3" Type="http://schemas.openxmlformats.org/officeDocument/2006/relationships/image" Target="../media/image7.jpeg"/><Relationship Id="rId12" Type="http://schemas.openxmlformats.org/officeDocument/2006/relationships/image" Target="../media/image16.jpeg"/><Relationship Id="rId17" Type="http://schemas.openxmlformats.org/officeDocument/2006/relationships/image" Target="../media/image21.jpeg"/><Relationship Id="rId25" Type="http://schemas.openxmlformats.org/officeDocument/2006/relationships/image" Target="../media/image28.png"/><Relationship Id="rId33" Type="http://schemas.microsoft.com/office/2007/relationships/hdphoto" Target="../media/hdphoto4.wdp"/><Relationship Id="rId38" Type="http://schemas.openxmlformats.org/officeDocument/2006/relationships/image" Target="../media/image36.png"/><Relationship Id="rId46" Type="http://schemas.openxmlformats.org/officeDocument/2006/relationships/image" Target="../media/image41.png"/><Relationship Id="rId59" Type="http://schemas.microsoft.com/office/2007/relationships/hdphoto" Target="../media/hdphoto15.wdp"/><Relationship Id="rId20" Type="http://schemas.openxmlformats.org/officeDocument/2006/relationships/image" Target="../media/image24.png"/><Relationship Id="rId41" Type="http://schemas.microsoft.com/office/2007/relationships/hdphoto" Target="../media/hdphoto7.wdp"/><Relationship Id="rId54" Type="http://schemas.openxmlformats.org/officeDocument/2006/relationships/image" Target="../media/image46.pn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15" Type="http://schemas.openxmlformats.org/officeDocument/2006/relationships/image" Target="../media/image19.jpeg"/><Relationship Id="rId23" Type="http://schemas.microsoft.com/office/2007/relationships/hdphoto" Target="../media/hdphoto1.wdp"/><Relationship Id="rId28" Type="http://schemas.openxmlformats.org/officeDocument/2006/relationships/image" Target="../media/image31.png"/><Relationship Id="rId36" Type="http://schemas.openxmlformats.org/officeDocument/2006/relationships/image" Target="../media/image35.png"/><Relationship Id="rId49" Type="http://schemas.microsoft.com/office/2007/relationships/hdphoto" Target="../media/hdphoto11.wdp"/><Relationship Id="rId57" Type="http://schemas.microsoft.com/office/2007/relationships/hdphoto" Target="../media/hdphoto14.wdp"/><Relationship Id="rId10" Type="http://schemas.openxmlformats.org/officeDocument/2006/relationships/image" Target="../media/image14.jpeg"/><Relationship Id="rId31" Type="http://schemas.microsoft.com/office/2007/relationships/hdphoto" Target="../media/hdphoto3.wdp"/><Relationship Id="rId44" Type="http://schemas.openxmlformats.org/officeDocument/2006/relationships/image" Target="../media/image40.png"/><Relationship Id="rId52" Type="http://schemas.openxmlformats.org/officeDocument/2006/relationships/image" Target="../media/image4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7621</xdr:colOff>
      <xdr:row>48</xdr:row>
      <xdr:rowOff>45720</xdr:rowOff>
    </xdr:from>
    <xdr:to>
      <xdr:col>3</xdr:col>
      <xdr:colOff>861026</xdr:colOff>
      <xdr:row>49</xdr:row>
      <xdr:rowOff>815342</xdr:rowOff>
    </xdr:to>
    <xdr:pic>
      <xdr:nvPicPr>
        <xdr:cNvPr id="2" name="Picture 2" descr="A close-up of a control panel&#10;&#10;Description automatically generated">
          <a:extLst>
            <a:ext uri="{FF2B5EF4-FFF2-40B4-BE49-F238E27FC236}">
              <a16:creationId xmlns:a16="http://schemas.microsoft.com/office/drawing/2014/main" id="{DC0ACA6D-EDAF-40FF-BD79-CF72ECD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3796" y="29001720"/>
          <a:ext cx="853405" cy="1645922"/>
        </a:xfrm>
        <a:prstGeom prst="rect">
          <a:avLst/>
        </a:prstGeom>
      </xdr:spPr>
    </xdr:pic>
    <xdr:clientData/>
  </xdr:twoCellAnchor>
  <xdr:twoCellAnchor editAs="oneCell">
    <xdr:from>
      <xdr:col>3</xdr:col>
      <xdr:colOff>784861</xdr:colOff>
      <xdr:row>48</xdr:row>
      <xdr:rowOff>15240</xdr:rowOff>
    </xdr:from>
    <xdr:to>
      <xdr:col>3</xdr:col>
      <xdr:colOff>1718113</xdr:colOff>
      <xdr:row>49</xdr:row>
      <xdr:rowOff>731522</xdr:rowOff>
    </xdr:to>
    <xdr:pic>
      <xdr:nvPicPr>
        <xdr:cNvPr id="3" name="Picture 4" descr="A close-up of a button&#10;&#10;Description automatically generated">
          <a:extLst>
            <a:ext uri="{FF2B5EF4-FFF2-40B4-BE49-F238E27FC236}">
              <a16:creationId xmlns:a16="http://schemas.microsoft.com/office/drawing/2014/main" id="{6A8C4745-E195-417B-A64E-429BE3320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1036" y="28971240"/>
          <a:ext cx="933252" cy="1592582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60</xdr:row>
      <xdr:rowOff>30480</xdr:rowOff>
    </xdr:from>
    <xdr:to>
      <xdr:col>3</xdr:col>
      <xdr:colOff>1623060</xdr:colOff>
      <xdr:row>61</xdr:row>
      <xdr:rowOff>407575</xdr:rowOff>
    </xdr:to>
    <xdr:pic>
      <xdr:nvPicPr>
        <xdr:cNvPr id="4" name="Picture 6" descr="A close-up of a machine&#10;&#10;Description automatically generated">
          <a:extLst>
            <a:ext uri="{FF2B5EF4-FFF2-40B4-BE49-F238E27FC236}">
              <a16:creationId xmlns:a16="http://schemas.microsoft.com/office/drawing/2014/main" id="{57872B88-A21A-4B9B-9EA1-93A7F1F32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40311705"/>
          <a:ext cx="1356360" cy="1339120"/>
        </a:xfrm>
        <a:prstGeom prst="rect">
          <a:avLst/>
        </a:prstGeom>
      </xdr:spPr>
    </xdr:pic>
    <xdr:clientData/>
  </xdr:twoCellAnchor>
  <xdr:twoCellAnchor editAs="oneCell">
    <xdr:from>
      <xdr:col>3</xdr:col>
      <xdr:colOff>335280</xdr:colOff>
      <xdr:row>57</xdr:row>
      <xdr:rowOff>7620</xdr:rowOff>
    </xdr:from>
    <xdr:to>
      <xdr:col>3</xdr:col>
      <xdr:colOff>1623060</xdr:colOff>
      <xdr:row>57</xdr:row>
      <xdr:rowOff>1158240</xdr:rowOff>
    </xdr:to>
    <xdr:pic>
      <xdr:nvPicPr>
        <xdr:cNvPr id="5" name="Picture 8" descr="A close-up of a power supply&#10;&#10;Description automatically generated">
          <a:extLst>
            <a:ext uri="{FF2B5EF4-FFF2-40B4-BE49-F238E27FC236}">
              <a16:creationId xmlns:a16="http://schemas.microsoft.com/office/drawing/2014/main" id="{C936C449-6B8F-47FF-8B0A-F3B91EE5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455" y="37212270"/>
          <a:ext cx="1287780" cy="1150620"/>
        </a:xfrm>
        <a:prstGeom prst="rect">
          <a:avLst/>
        </a:prstGeom>
      </xdr:spPr>
    </xdr:pic>
    <xdr:clientData/>
  </xdr:twoCellAnchor>
  <xdr:twoCellAnchor editAs="oneCell">
    <xdr:from>
      <xdr:col>3</xdr:col>
      <xdr:colOff>701041</xdr:colOff>
      <xdr:row>55</xdr:row>
      <xdr:rowOff>30481</xdr:rowOff>
    </xdr:from>
    <xdr:to>
      <xdr:col>3</xdr:col>
      <xdr:colOff>1094347</xdr:colOff>
      <xdr:row>55</xdr:row>
      <xdr:rowOff>876300</xdr:rowOff>
    </xdr:to>
    <xdr:pic>
      <xdr:nvPicPr>
        <xdr:cNvPr id="6" name="Picture 10" descr="A black and yellow movie projector&#10;&#10;Description automatically generated">
          <a:extLst>
            <a:ext uri="{FF2B5EF4-FFF2-40B4-BE49-F238E27FC236}">
              <a16:creationId xmlns:a16="http://schemas.microsoft.com/office/drawing/2014/main" id="{7BA0456B-D60F-41F1-B54C-DDB9C2C8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7216" y="35425381"/>
          <a:ext cx="393306" cy="845819"/>
        </a:xfrm>
        <a:prstGeom prst="rect">
          <a:avLst/>
        </a:prstGeom>
      </xdr:spPr>
    </xdr:pic>
    <xdr:clientData/>
  </xdr:twoCellAnchor>
  <xdr:twoCellAnchor editAs="oneCell">
    <xdr:from>
      <xdr:col>3</xdr:col>
      <xdr:colOff>519249</xdr:colOff>
      <xdr:row>54</xdr:row>
      <xdr:rowOff>54430</xdr:rowOff>
    </xdr:from>
    <xdr:to>
      <xdr:col>3</xdr:col>
      <xdr:colOff>1288868</xdr:colOff>
      <xdr:row>54</xdr:row>
      <xdr:rowOff>824049</xdr:rowOff>
    </xdr:to>
    <xdr:pic>
      <xdr:nvPicPr>
        <xdr:cNvPr id="7" name="Picture 12" descr="A yellow and black box with a red button&#10;&#10;Description automatically generated">
          <a:extLst>
            <a:ext uri="{FF2B5EF4-FFF2-40B4-BE49-F238E27FC236}">
              <a16:creationId xmlns:a16="http://schemas.microsoft.com/office/drawing/2014/main" id="{42BDFB87-D94B-4583-9A6B-F36A5C40D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5424" y="34544455"/>
          <a:ext cx="769619" cy="769619"/>
        </a:xfrm>
        <a:prstGeom prst="rect">
          <a:avLst/>
        </a:prstGeom>
      </xdr:spPr>
    </xdr:pic>
    <xdr:clientData/>
  </xdr:twoCellAnchor>
  <xdr:twoCellAnchor editAs="oneCell">
    <xdr:from>
      <xdr:col>3</xdr:col>
      <xdr:colOff>487680</xdr:colOff>
      <xdr:row>47</xdr:row>
      <xdr:rowOff>15240</xdr:rowOff>
    </xdr:from>
    <xdr:to>
      <xdr:col>3</xdr:col>
      <xdr:colOff>1341120</xdr:colOff>
      <xdr:row>47</xdr:row>
      <xdr:rowOff>868680</xdr:rowOff>
    </xdr:to>
    <xdr:pic>
      <xdr:nvPicPr>
        <xdr:cNvPr id="8" name="Picture 14" descr="A group of metal pipes&#10;&#10;Description automatically generated">
          <a:extLst>
            <a:ext uri="{FF2B5EF4-FFF2-40B4-BE49-F238E27FC236}">
              <a16:creationId xmlns:a16="http://schemas.microsoft.com/office/drawing/2014/main" id="{7D3C1AE9-511A-4C82-A834-85D28F9D2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855" y="28094940"/>
          <a:ext cx="853440" cy="853440"/>
        </a:xfrm>
        <a:prstGeom prst="rect">
          <a:avLst/>
        </a:prstGeom>
      </xdr:spPr>
    </xdr:pic>
    <xdr:clientData/>
  </xdr:twoCellAnchor>
  <xdr:twoCellAnchor editAs="oneCell">
    <xdr:from>
      <xdr:col>3</xdr:col>
      <xdr:colOff>430695</xdr:colOff>
      <xdr:row>46</xdr:row>
      <xdr:rowOff>5862</xdr:rowOff>
    </xdr:from>
    <xdr:to>
      <xdr:col>3</xdr:col>
      <xdr:colOff>1331843</xdr:colOff>
      <xdr:row>46</xdr:row>
      <xdr:rowOff>682487</xdr:rowOff>
    </xdr:to>
    <xdr:pic>
      <xdr:nvPicPr>
        <xdr:cNvPr id="9" name="Picture 15" descr="Zeybek 60*40 Yapışkanlı Kablo Kanalı Beyaz Kablo Kanal Bağlantı Ekipmanları">
          <a:extLst>
            <a:ext uri="{FF2B5EF4-FFF2-40B4-BE49-F238E27FC236}">
              <a16:creationId xmlns:a16="http://schemas.microsoft.com/office/drawing/2014/main" id="{E4C34336-4B91-4A57-8B58-8C0732A6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870" y="27390237"/>
          <a:ext cx="901148" cy="67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392723</xdr:colOff>
      <xdr:row>45</xdr:row>
      <xdr:rowOff>23445</xdr:rowOff>
    </xdr:from>
    <xdr:to>
      <xdr:col>3</xdr:col>
      <xdr:colOff>1418492</xdr:colOff>
      <xdr:row>45</xdr:row>
      <xdr:rowOff>633046</xdr:rowOff>
    </xdr:to>
    <xdr:pic>
      <xdr:nvPicPr>
        <xdr:cNvPr id="10" name="Picture 18" descr="FLEKSIBIL TAKOZU - 6001 - Aspar Asansör Pazarlama">
          <a:extLst>
            <a:ext uri="{FF2B5EF4-FFF2-40B4-BE49-F238E27FC236}">
              <a16:creationId xmlns:a16="http://schemas.microsoft.com/office/drawing/2014/main" id="{A60C7D7F-AC63-4B14-BFBC-59AF31C72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8898" y="26760120"/>
          <a:ext cx="1025769" cy="60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490332</xdr:colOff>
      <xdr:row>44</xdr:row>
      <xdr:rowOff>13252</xdr:rowOff>
    </xdr:from>
    <xdr:to>
      <xdr:col>3</xdr:col>
      <xdr:colOff>1338470</xdr:colOff>
      <xdr:row>44</xdr:row>
      <xdr:rowOff>650563</xdr:rowOff>
    </xdr:to>
    <xdr:pic>
      <xdr:nvPicPr>
        <xdr:cNvPr id="11" name="Picture 21" descr="motor">
          <a:extLst>
            <a:ext uri="{FF2B5EF4-FFF2-40B4-BE49-F238E27FC236}">
              <a16:creationId xmlns:a16="http://schemas.microsoft.com/office/drawing/2014/main" id="{1E5A8667-C64C-4227-8C60-EB62AFA4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6507" y="26083177"/>
          <a:ext cx="848138" cy="637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576710</xdr:colOff>
      <xdr:row>42</xdr:row>
      <xdr:rowOff>9378</xdr:rowOff>
    </xdr:from>
    <xdr:to>
      <xdr:col>3</xdr:col>
      <xdr:colOff>1400907</xdr:colOff>
      <xdr:row>42</xdr:row>
      <xdr:rowOff>612072</xdr:rowOff>
    </xdr:to>
    <xdr:pic>
      <xdr:nvPicPr>
        <xdr:cNvPr id="12" name="Picture 22" descr="Asansör dijital kablo fiyatı">
          <a:extLst>
            <a:ext uri="{FF2B5EF4-FFF2-40B4-BE49-F238E27FC236}">
              <a16:creationId xmlns:a16="http://schemas.microsoft.com/office/drawing/2014/main" id="{49087678-C014-4499-98ED-3540996A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2885" y="24822003"/>
          <a:ext cx="824197" cy="602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474785</xdr:colOff>
      <xdr:row>43</xdr:row>
      <xdr:rowOff>82062</xdr:rowOff>
    </xdr:from>
    <xdr:to>
      <xdr:col>3</xdr:col>
      <xdr:colOff>1430215</xdr:colOff>
      <xdr:row>43</xdr:row>
      <xdr:rowOff>598226</xdr:rowOff>
    </xdr:to>
    <xdr:pic>
      <xdr:nvPicPr>
        <xdr:cNvPr id="13" name="Picture 23" descr="PremiumX 100 m Mini Koaksiyel Uydu Kablosu 4 mm Ekstra İnce Beyaz Koaksiyel  Anten Kablosu 2 kat Korumalı Uydu için | Kablo | DVB-T - Ultra HD 4K 3D :  Amazon.com.tr: Elektronik">
          <a:extLst>
            <a:ext uri="{FF2B5EF4-FFF2-40B4-BE49-F238E27FC236}">
              <a16:creationId xmlns:a16="http://schemas.microsoft.com/office/drawing/2014/main" id="{39836616-6665-4FCC-A5E4-48C1518DA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0960" y="25523337"/>
          <a:ext cx="955430" cy="516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</xdr:colOff>
      <xdr:row>40</xdr:row>
      <xdr:rowOff>12309</xdr:rowOff>
    </xdr:from>
    <xdr:to>
      <xdr:col>3</xdr:col>
      <xdr:colOff>1758314</xdr:colOff>
      <xdr:row>41</xdr:row>
      <xdr:rowOff>921206</xdr:rowOff>
    </xdr:to>
    <xdr:pic>
      <xdr:nvPicPr>
        <xdr:cNvPr id="14" name="Picture 24" descr="öyle Pasifik başarmak 0.50 kablo - kleinrex.net">
          <a:extLst>
            <a:ext uri="{FF2B5EF4-FFF2-40B4-BE49-F238E27FC236}">
              <a16:creationId xmlns:a16="http://schemas.microsoft.com/office/drawing/2014/main" id="{03E685C5-ECAB-4F30-B9F4-840EA0E8F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9035" y="22958034"/>
          <a:ext cx="1735454" cy="1842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53</xdr:row>
      <xdr:rowOff>22860</xdr:rowOff>
    </xdr:from>
    <xdr:to>
      <xdr:col>3</xdr:col>
      <xdr:colOff>1490512</xdr:colOff>
      <xdr:row>53</xdr:row>
      <xdr:rowOff>1135380</xdr:rowOff>
    </xdr:to>
    <xdr:pic>
      <xdr:nvPicPr>
        <xdr:cNvPr id="15" name="Picture 25" descr="Asansör Komponentleri">
          <a:extLst>
            <a:ext uri="{FF2B5EF4-FFF2-40B4-BE49-F238E27FC236}">
              <a16:creationId xmlns:a16="http://schemas.microsoft.com/office/drawing/2014/main" id="{420BFA5F-7677-4BFD-8ACE-9257D0C4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33360360"/>
          <a:ext cx="1185712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739140</xdr:colOff>
      <xdr:row>56</xdr:row>
      <xdr:rowOff>7620</xdr:rowOff>
    </xdr:from>
    <xdr:to>
      <xdr:col>3</xdr:col>
      <xdr:colOff>1203960</xdr:colOff>
      <xdr:row>56</xdr:row>
      <xdr:rowOff>896044</xdr:rowOff>
    </xdr:to>
    <xdr:pic>
      <xdr:nvPicPr>
        <xdr:cNvPr id="16" name="Picture 26" descr="Electrical - Limit Switches">
          <a:extLst>
            <a:ext uri="{FF2B5EF4-FFF2-40B4-BE49-F238E27FC236}">
              <a16:creationId xmlns:a16="http://schemas.microsoft.com/office/drawing/2014/main" id="{D0CE73C2-888D-410B-B5D3-97FD3576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315" y="36307395"/>
          <a:ext cx="464820" cy="888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57</xdr:row>
      <xdr:rowOff>922020</xdr:rowOff>
    </xdr:from>
    <xdr:to>
      <xdr:col>4</xdr:col>
      <xdr:colOff>45719</xdr:colOff>
      <xdr:row>60</xdr:row>
      <xdr:rowOff>273990</xdr:rowOff>
    </xdr:to>
    <xdr:pic>
      <xdr:nvPicPr>
        <xdr:cNvPr id="17" name="Picture 27" descr="KM 10 | Arkel Kapı Kontrol Kartları">
          <a:extLst>
            <a:ext uri="{FF2B5EF4-FFF2-40B4-BE49-F238E27FC236}">
              <a16:creationId xmlns:a16="http://schemas.microsoft.com/office/drawing/2014/main" id="{9D606876-2852-41DD-97B7-7A566FA6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7135" y="38126670"/>
          <a:ext cx="1746885" cy="242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464820</xdr:colOff>
      <xdr:row>64</xdr:row>
      <xdr:rowOff>22860</xdr:rowOff>
    </xdr:from>
    <xdr:to>
      <xdr:col>3</xdr:col>
      <xdr:colOff>1386840</xdr:colOff>
      <xdr:row>64</xdr:row>
      <xdr:rowOff>906780</xdr:rowOff>
    </xdr:to>
    <xdr:pic>
      <xdr:nvPicPr>
        <xdr:cNvPr id="18" name="Picture 28" descr="Power Boost B-1500VA 1500VA Line interactive UPS Fiyatı">
          <a:extLst>
            <a:ext uri="{FF2B5EF4-FFF2-40B4-BE49-F238E27FC236}">
              <a16:creationId xmlns:a16="http://schemas.microsoft.com/office/drawing/2014/main" id="{4FE6A61A-3105-4354-8E2E-EAE77696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0995" y="44056935"/>
          <a:ext cx="92202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</xdr:colOff>
      <xdr:row>39</xdr:row>
      <xdr:rowOff>22860</xdr:rowOff>
    </xdr:from>
    <xdr:to>
      <xdr:col>3</xdr:col>
      <xdr:colOff>640080</xdr:colOff>
      <xdr:row>40</xdr:row>
      <xdr:rowOff>6701</xdr:rowOff>
    </xdr:to>
    <xdr:pic>
      <xdr:nvPicPr>
        <xdr:cNvPr id="19" name="Picture 3" descr="Ayarlanabilir tampon demiri">
          <a:extLst>
            <a:ext uri="{FF2B5EF4-FFF2-40B4-BE49-F238E27FC236}">
              <a16:creationId xmlns:a16="http://schemas.microsoft.com/office/drawing/2014/main" id="{7152352A-3447-4450-B45A-93B1DB98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4755" y="22054185"/>
          <a:ext cx="571500" cy="898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922021</xdr:colOff>
      <xdr:row>39</xdr:row>
      <xdr:rowOff>213361</xdr:rowOff>
    </xdr:from>
    <xdr:to>
      <xdr:col>3</xdr:col>
      <xdr:colOff>1566093</xdr:colOff>
      <xdr:row>39</xdr:row>
      <xdr:rowOff>754381</xdr:rowOff>
    </xdr:to>
    <xdr:pic>
      <xdr:nvPicPr>
        <xdr:cNvPr id="20" name="Picture 5" descr="Project Image">
          <a:extLst>
            <a:ext uri="{FF2B5EF4-FFF2-40B4-BE49-F238E27FC236}">
              <a16:creationId xmlns:a16="http://schemas.microsoft.com/office/drawing/2014/main" id="{CE2CFDC4-862E-487A-86AC-BB96F652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8196" y="22244686"/>
          <a:ext cx="644072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133894</xdr:rowOff>
    </xdr:from>
    <xdr:to>
      <xdr:col>4</xdr:col>
      <xdr:colOff>116123</xdr:colOff>
      <xdr:row>34</xdr:row>
      <xdr:rowOff>316448</xdr:rowOff>
    </xdr:to>
    <xdr:pic>
      <xdr:nvPicPr>
        <xdr:cNvPr id="21" name="Picture 7" descr="Okka Lift – Asansör Denge ve Ağırlık Sistemleri">
          <a:extLst>
            <a:ext uri="{FF2B5EF4-FFF2-40B4-BE49-F238E27FC236}">
              <a16:creationId xmlns:a16="http://schemas.microsoft.com/office/drawing/2014/main" id="{523A61E0-7242-4DA8-8AFC-B75767AE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4201" y="16697869"/>
          <a:ext cx="1878330" cy="1306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632461</xdr:colOff>
      <xdr:row>31</xdr:row>
      <xdr:rowOff>30481</xdr:rowOff>
    </xdr:from>
    <xdr:to>
      <xdr:col>3</xdr:col>
      <xdr:colOff>1219201</xdr:colOff>
      <xdr:row>32</xdr:row>
      <xdr:rowOff>289560</xdr:rowOff>
    </xdr:to>
    <xdr:pic>
      <xdr:nvPicPr>
        <xdr:cNvPr id="22" name="Picture 11" descr="A close-up of a metal object&#10;&#10;Description automatically generated">
          <a:extLst>
            <a:ext uri="{FF2B5EF4-FFF2-40B4-BE49-F238E27FC236}">
              <a16:creationId xmlns:a16="http://schemas.microsoft.com/office/drawing/2014/main" id="{DA0B4643-0C22-49F5-B97F-A37B358BD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636" y="16270606"/>
          <a:ext cx="586740" cy="582929"/>
        </a:xfrm>
        <a:prstGeom prst="rect">
          <a:avLst/>
        </a:prstGeom>
      </xdr:spPr>
    </xdr:pic>
    <xdr:clientData/>
  </xdr:twoCellAnchor>
  <xdr:twoCellAnchor editAs="oneCell">
    <xdr:from>
      <xdr:col>3</xdr:col>
      <xdr:colOff>57359</xdr:colOff>
      <xdr:row>27</xdr:row>
      <xdr:rowOff>662943</xdr:rowOff>
    </xdr:from>
    <xdr:to>
      <xdr:col>3</xdr:col>
      <xdr:colOff>1719943</xdr:colOff>
      <xdr:row>33</xdr:row>
      <xdr:rowOff>291741</xdr:rowOff>
    </xdr:to>
    <xdr:pic>
      <xdr:nvPicPr>
        <xdr:cNvPr id="23" name="Picture 13" descr="Dörtlü Asansör - HALAT ŞİŞESİ">
          <a:extLst>
            <a:ext uri="{FF2B5EF4-FFF2-40B4-BE49-F238E27FC236}">
              <a16:creationId xmlns:a16="http://schemas.microsoft.com/office/drawing/2014/main" id="{884C95DC-3576-41E9-8184-A055A29CC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4770" b="97445" l="10000" r="90000">
                      <a14:foregroundMark x1="55349" y1="14651" x2="53256" y2="14651"/>
                      <a14:foregroundMark x1="54186" y1="66269" x2="54186" y2="65077"/>
                      <a14:foregroundMark x1="52907" y1="65588" x2="52209" y2="67291"/>
                      <a14:foregroundMark x1="54651" y1="67632" x2="53953" y2="66440"/>
                      <a14:foregroundMark x1="52558" y1="65758" x2="54884" y2="94378"/>
                      <a14:foregroundMark x1="54884" y1="94378" x2="60814" y2="67462"/>
                      <a14:foregroundMark x1="60814" y1="67462" x2="52442" y2="66440"/>
                      <a14:foregroundMark x1="60581" y1="68654" x2="55581" y2="96593"/>
                      <a14:foregroundMark x1="55581" y1="96593" x2="50349" y2="60477"/>
                      <a14:foregroundMark x1="50349" y1="60477" x2="61628" y2="72913"/>
                      <a14:foregroundMark x1="58023" y1="74617" x2="55581" y2="75980"/>
                      <a14:foregroundMark x1="44884" y1="61158" x2="45233" y2="92504"/>
                      <a14:foregroundMark x1="45233" y1="92504" x2="46047" y2="63373"/>
                      <a14:foregroundMark x1="46047" y1="63373" x2="44070" y2="64225"/>
                      <a14:foregroundMark x1="43488" y1="11073" x2="44302" y2="39693"/>
                      <a14:foregroundMark x1="44302" y1="39693" x2="49651" y2="7666"/>
                      <a14:foregroundMark x1="49651" y1="7666" x2="42907" y2="10392"/>
                      <a14:foregroundMark x1="49419" y1="42760" x2="48837" y2="8859"/>
                      <a14:foregroundMark x1="48837" y1="8859" x2="45233" y2="9710"/>
                      <a14:foregroundMark x1="45233" y1="32879" x2="41977" y2="65417"/>
                      <a14:foregroundMark x1="41977" y1="65417" x2="48605" y2="86712"/>
                      <a14:foregroundMark x1="56163" y1="71039" x2="59884" y2="36627"/>
                      <a14:foregroundMark x1="59884" y1="36627" x2="56047" y2="4940"/>
                      <a14:foregroundMark x1="56047" y1="4940" x2="46047" y2="8859"/>
                      <a14:foregroundMark x1="55349" y1="5281" x2="51279" y2="28961"/>
                      <a14:foregroundMark x1="54070" y1="5622" x2="58953" y2="33731"/>
                      <a14:foregroundMark x1="58953" y1="33731" x2="58837" y2="33731"/>
                      <a14:foregroundMark x1="58953" y1="37308" x2="61047" y2="66099"/>
                      <a14:foregroundMark x1="61047" y1="66099" x2="58023" y2="71891"/>
                      <a14:foregroundMark x1="59651" y1="73083" x2="56163" y2="97445"/>
                      <a14:backgroundMark x1="63721" y1="63203" x2="65000" y2="618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122627" y="15086075"/>
          <a:ext cx="2524398" cy="166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463930</xdr:colOff>
      <xdr:row>28</xdr:row>
      <xdr:rowOff>13252</xdr:rowOff>
    </xdr:from>
    <xdr:to>
      <xdr:col>3</xdr:col>
      <xdr:colOff>1413642</xdr:colOff>
      <xdr:row>30</xdr:row>
      <xdr:rowOff>202</xdr:rowOff>
    </xdr:to>
    <xdr:pic>
      <xdr:nvPicPr>
        <xdr:cNvPr id="24" name="Picture 17" descr="A close-up of a wire&#10;&#10;Description automatically generated">
          <a:extLst>
            <a:ext uri="{FF2B5EF4-FFF2-40B4-BE49-F238E27FC236}">
              <a16:creationId xmlns:a16="http://schemas.microsoft.com/office/drawing/2014/main" id="{DE1D0094-0D64-462B-88CF-45472ACD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0105" y="14729377"/>
          <a:ext cx="949712" cy="939450"/>
        </a:xfrm>
        <a:prstGeom prst="rect">
          <a:avLst/>
        </a:prstGeom>
      </xdr:spPr>
    </xdr:pic>
    <xdr:clientData/>
  </xdr:twoCellAnchor>
  <xdr:twoCellAnchor editAs="oneCell">
    <xdr:from>
      <xdr:col>3</xdr:col>
      <xdr:colOff>272190</xdr:colOff>
      <xdr:row>26</xdr:row>
      <xdr:rowOff>399162</xdr:rowOff>
    </xdr:from>
    <xdr:to>
      <xdr:col>4</xdr:col>
      <xdr:colOff>268270</xdr:colOff>
      <xdr:row>27</xdr:row>
      <xdr:rowOff>419040</xdr:rowOff>
    </xdr:to>
    <xdr:pic>
      <xdr:nvPicPr>
        <xdr:cNvPr id="25" name="Picture 20" descr="A close-up of metal plates&#10;&#10;Description automatically generated">
          <a:extLst>
            <a:ext uri="{FF2B5EF4-FFF2-40B4-BE49-F238E27FC236}">
              <a16:creationId xmlns:a16="http://schemas.microsoft.com/office/drawing/2014/main" id="{130438D1-A841-41A6-8118-7FE6529E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8365" y="13667487"/>
          <a:ext cx="1758206" cy="7437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26" name="AutoShape 5" descr="Hilti Standart Klipsli Dübel M12x100mm (Çelik Dübel) (10adet) - Uygun  Fiyata Satın Al! | DomiRobot.com">
          <a:extLst>
            <a:ext uri="{FF2B5EF4-FFF2-40B4-BE49-F238E27FC236}">
              <a16:creationId xmlns:a16="http://schemas.microsoft.com/office/drawing/2014/main" id="{88ABD09B-2CA5-4518-AEB4-DF2CB66FAEE2}"/>
            </a:ext>
          </a:extLst>
        </xdr:cNvPr>
        <xdr:cNvSpPr>
          <a:spLocks noChangeAspect="1" noChangeArrowheads="1"/>
        </xdr:cNvSpPr>
      </xdr:nvSpPr>
      <xdr:spPr bwMode="auto">
        <a:xfrm>
          <a:off x="7496175" y="127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27" name="AutoShape 6" descr="Hilti Standart Klipsli Dübel M12x100mm (Çelik Dübel) (10adet) - Uygun  Fiyata Satın Al! | DomiRobot.com">
          <a:extLst>
            <a:ext uri="{FF2B5EF4-FFF2-40B4-BE49-F238E27FC236}">
              <a16:creationId xmlns:a16="http://schemas.microsoft.com/office/drawing/2014/main" id="{87A279A2-5931-4F0A-8CD8-7BB7199ABBEA}"/>
            </a:ext>
          </a:extLst>
        </xdr:cNvPr>
        <xdr:cNvSpPr>
          <a:spLocks noChangeAspect="1" noChangeArrowheads="1"/>
        </xdr:cNvSpPr>
      </xdr:nvSpPr>
      <xdr:spPr bwMode="auto">
        <a:xfrm>
          <a:off x="7496175" y="127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139147</xdr:colOff>
      <xdr:row>25</xdr:row>
      <xdr:rowOff>107427</xdr:rowOff>
    </xdr:from>
    <xdr:to>
      <xdr:col>3</xdr:col>
      <xdr:colOff>1688549</xdr:colOff>
      <xdr:row>25</xdr:row>
      <xdr:rowOff>443948</xdr:rowOff>
    </xdr:to>
    <xdr:pic>
      <xdr:nvPicPr>
        <xdr:cNvPr id="28" name="Picture 30" descr="A clear plastic tube with a blue cap&#10;&#10;Description automatically generated">
          <a:extLst>
            <a:ext uri="{FF2B5EF4-FFF2-40B4-BE49-F238E27FC236}">
              <a16:creationId xmlns:a16="http://schemas.microsoft.com/office/drawing/2014/main" id="{7B4736D6-49F2-4ED4-874C-AEE226AA4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5322" y="12851877"/>
          <a:ext cx="1549402" cy="336521"/>
        </a:xfrm>
        <a:prstGeom prst="rect">
          <a:avLst/>
        </a:prstGeom>
      </xdr:spPr>
    </xdr:pic>
    <xdr:clientData/>
  </xdr:twoCellAnchor>
  <xdr:twoCellAnchor editAs="oneCell">
    <xdr:from>
      <xdr:col>3</xdr:col>
      <xdr:colOff>59634</xdr:colOff>
      <xdr:row>22</xdr:row>
      <xdr:rowOff>39760</xdr:rowOff>
    </xdr:from>
    <xdr:to>
      <xdr:col>3</xdr:col>
      <xdr:colOff>828260</xdr:colOff>
      <xdr:row>24</xdr:row>
      <xdr:rowOff>192159</xdr:rowOff>
    </xdr:to>
    <xdr:pic>
      <xdr:nvPicPr>
        <xdr:cNvPr id="29" name="Picture 32" descr="A close-up of a bolt&#10;&#10;Description automatically generated">
          <a:extLst>
            <a:ext uri="{FF2B5EF4-FFF2-40B4-BE49-F238E27FC236}">
              <a16:creationId xmlns:a16="http://schemas.microsoft.com/office/drawing/2014/main" id="{E01E9FA1-CE64-4684-8324-2B55A2FAD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54372" y="12056997"/>
          <a:ext cx="571499" cy="76862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21</xdr:row>
      <xdr:rowOff>225287</xdr:rowOff>
    </xdr:from>
    <xdr:to>
      <xdr:col>4</xdr:col>
      <xdr:colOff>3728</xdr:colOff>
      <xdr:row>24</xdr:row>
      <xdr:rowOff>195942</xdr:rowOff>
    </xdr:to>
    <xdr:pic>
      <xdr:nvPicPr>
        <xdr:cNvPr id="30" name="Picture 34">
          <a:extLst>
            <a:ext uri="{FF2B5EF4-FFF2-40B4-BE49-F238E27FC236}">
              <a16:creationId xmlns:a16="http://schemas.microsoft.com/office/drawing/2014/main" id="{9ABEFCD3-50C5-466A-AE87-D4F2DAA08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6" y="12064862"/>
          <a:ext cx="1003853" cy="6659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349667</xdr:rowOff>
    </xdr:from>
    <xdr:to>
      <xdr:col>3</xdr:col>
      <xdr:colOff>1378370</xdr:colOff>
      <xdr:row>24</xdr:row>
      <xdr:rowOff>21018</xdr:rowOff>
    </xdr:to>
    <xdr:pic>
      <xdr:nvPicPr>
        <xdr:cNvPr id="31" name="Picture 36" descr="A close-up of a metal piece&#10;&#10;Description automatically generated">
          <a:extLst>
            <a:ext uri="{FF2B5EF4-FFF2-40B4-BE49-F238E27FC236}">
              <a16:creationId xmlns:a16="http://schemas.microsoft.com/office/drawing/2014/main" id="{0EDAA843-23C7-4B7D-A7A0-49A349B0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ackgroundRemoval t="10000" b="90000" l="10000" r="90000">
                      <a14:foregroundMark x1="51800" y1="51200" x2="53600" y2="51600"/>
                      <a14:foregroundMark x1="46800" y1="35400" x2="23800" y2="70200"/>
                      <a14:foregroundMark x1="23800" y1="70200" x2="27800" y2="34200"/>
                      <a14:foregroundMark x1="27800" y1="34200" x2="46200" y2="332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510" y="11131967"/>
          <a:ext cx="1378451" cy="1423951"/>
        </a:xfrm>
        <a:prstGeom prst="rect">
          <a:avLst/>
        </a:prstGeom>
      </xdr:spPr>
    </xdr:pic>
    <xdr:clientData/>
  </xdr:twoCellAnchor>
  <xdr:twoCellAnchor editAs="oneCell">
    <xdr:from>
      <xdr:col>3</xdr:col>
      <xdr:colOff>847824</xdr:colOff>
      <xdr:row>18</xdr:row>
      <xdr:rowOff>313193</xdr:rowOff>
    </xdr:from>
    <xdr:to>
      <xdr:col>4</xdr:col>
      <xdr:colOff>52753</xdr:colOff>
      <xdr:row>24</xdr:row>
      <xdr:rowOff>64162</xdr:rowOff>
    </xdr:to>
    <xdr:pic>
      <xdr:nvPicPr>
        <xdr:cNvPr id="32" name="Picture 38" descr="A close-up of a couple of metal parts&#10;&#10;Description automatically generated">
          <a:extLst>
            <a:ext uri="{FF2B5EF4-FFF2-40B4-BE49-F238E27FC236}">
              <a16:creationId xmlns:a16="http://schemas.microsoft.com/office/drawing/2014/main" id="{3757C89A-567E-45B5-8474-1DA7BC200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9972" b="89958" l="10000" r="94400">
                      <a14:foregroundMark x1="63700" y1="64003" x2="94400" y2="35644"/>
                      <a14:foregroundMark x1="94400" y1="35644" x2="59300" y2="58840"/>
                      <a14:foregroundMark x1="59300" y1="58840" x2="60900" y2="629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99" y="11095493"/>
          <a:ext cx="967055" cy="1503569"/>
        </a:xfrm>
        <a:prstGeom prst="rect">
          <a:avLst/>
        </a:prstGeom>
      </xdr:spPr>
    </xdr:pic>
    <xdr:clientData/>
  </xdr:twoCellAnchor>
  <xdr:twoCellAnchor editAs="oneCell">
    <xdr:from>
      <xdr:col>3</xdr:col>
      <xdr:colOff>265043</xdr:colOff>
      <xdr:row>17</xdr:row>
      <xdr:rowOff>138795</xdr:rowOff>
    </xdr:from>
    <xdr:to>
      <xdr:col>3</xdr:col>
      <xdr:colOff>1603513</xdr:colOff>
      <xdr:row>20</xdr:row>
      <xdr:rowOff>265955</xdr:rowOff>
    </xdr:to>
    <xdr:pic>
      <xdr:nvPicPr>
        <xdr:cNvPr id="33" name="Picture 40" descr="A metal bracket with holes&#10;&#10;Description automatically generated">
          <a:extLst>
            <a:ext uri="{FF2B5EF4-FFF2-40B4-BE49-F238E27FC236}">
              <a16:creationId xmlns:a16="http://schemas.microsoft.com/office/drawing/2014/main" id="{B8F9EA96-F03E-4369-9EDB-058BC9BC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BEBA8EAE-BF5A-486C-A8C5-ECC9F3942E4B}">
              <a14:imgProps xmlns:a14="http://schemas.microsoft.com/office/drawing/2010/main">
                <a14:imgLayer r:embed="rId3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218" y="10530570"/>
          <a:ext cx="1338470" cy="12987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421822</xdr:rowOff>
    </xdr:from>
    <xdr:to>
      <xdr:col>5</xdr:col>
      <xdr:colOff>486792</xdr:colOff>
      <xdr:row>17</xdr:row>
      <xdr:rowOff>262110</xdr:rowOff>
    </xdr:to>
    <xdr:pic>
      <xdr:nvPicPr>
        <xdr:cNvPr id="34" name="Picture 42" descr="A blue and yellow machine&#10;&#10;Description automatically generated">
          <a:extLst>
            <a:ext uri="{FF2B5EF4-FFF2-40B4-BE49-F238E27FC236}">
              <a16:creationId xmlns:a16="http://schemas.microsoft.com/office/drawing/2014/main" id="{E1D8857C-4F6F-4341-A335-43EF9AC9C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BEBA8EAE-BF5A-486C-A8C5-ECC9F3942E4B}">
              <a14:imgProps xmlns:a14="http://schemas.microsoft.com/office/drawing/2010/main">
                <a14:imgLayer r:embed="rId37">
                  <a14:imgEffect>
                    <a14:backgroundRemoval t="10000" b="95800" l="10000" r="90000">
                      <a14:foregroundMark x1="38961" y1="88200" x2="61948" y2="92400"/>
                      <a14:foregroundMark x1="61948" y1="92400" x2="45974" y2="81600"/>
                      <a14:foregroundMark x1="45974" y1="81600" x2="38052" y2="87400"/>
                      <a14:foregroundMark x1="40390" y1="89600" x2="45714" y2="87400"/>
                      <a14:foregroundMark x1="42857" y1="88800" x2="44545" y2="84400"/>
                      <a14:foregroundMark x1="51169" y1="32200" x2="51039" y2="28200"/>
                      <a14:foregroundMark x1="53247" y1="30400" x2="52338" y2="29600"/>
                      <a14:foregroundMark x1="51688" y1="34200" x2="51169" y2="32000"/>
                      <a14:foregroundMark x1="50390" y1="32400" x2="50260" y2="38000"/>
                      <a14:foregroundMark x1="48701" y1="32600" x2="48312" y2="40600"/>
                      <a14:foregroundMark x1="49740" y1="32400" x2="48571" y2="40600"/>
                      <a14:foregroundMark x1="48182" y1="32400" x2="46494" y2="39800"/>
                      <a14:foregroundMark x1="48701" y1="33600" x2="47143" y2="42800"/>
                      <a14:foregroundMark x1="48571" y1="31400" x2="46234" y2="41800"/>
                      <a14:foregroundMark x1="47273" y1="92000" x2="55195" y2="95800"/>
                      <a14:foregroundMark x1="53506" y1="93200" x2="43896" y2="924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838" y="8899072"/>
          <a:ext cx="2620474" cy="1754813"/>
        </a:xfrm>
        <a:prstGeom prst="rect">
          <a:avLst/>
        </a:prstGeom>
      </xdr:spPr>
    </xdr:pic>
    <xdr:clientData/>
  </xdr:twoCellAnchor>
  <xdr:twoCellAnchor editAs="oneCell">
    <xdr:from>
      <xdr:col>3</xdr:col>
      <xdr:colOff>94285</xdr:colOff>
      <xdr:row>7</xdr:row>
      <xdr:rowOff>14764</xdr:rowOff>
    </xdr:from>
    <xdr:to>
      <xdr:col>3</xdr:col>
      <xdr:colOff>1718760</xdr:colOff>
      <xdr:row>9</xdr:row>
      <xdr:rowOff>583325</xdr:rowOff>
    </xdr:to>
    <xdr:pic>
      <xdr:nvPicPr>
        <xdr:cNvPr id="35" name="Picture 44" descr="A close-up of an elevator door&#10;&#10;Description automatically generated">
          <a:extLst>
            <a:ext uri="{FF2B5EF4-FFF2-40B4-BE49-F238E27FC236}">
              <a16:creationId xmlns:a16="http://schemas.microsoft.com/office/drawing/2014/main" id="{74B0BE36-2C30-4AA6-93E0-7BD4ED0C9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0460" y="3939064"/>
          <a:ext cx="1624475" cy="1749661"/>
        </a:xfrm>
        <a:prstGeom prst="rect">
          <a:avLst/>
        </a:prstGeom>
      </xdr:spPr>
    </xdr:pic>
    <xdr:clientData/>
  </xdr:twoCellAnchor>
  <xdr:twoCellAnchor editAs="oneCell">
    <xdr:from>
      <xdr:col>3</xdr:col>
      <xdr:colOff>47512</xdr:colOff>
      <xdr:row>3</xdr:row>
      <xdr:rowOff>38100</xdr:rowOff>
    </xdr:from>
    <xdr:to>
      <xdr:col>3</xdr:col>
      <xdr:colOff>1758042</xdr:colOff>
      <xdr:row>5</xdr:row>
      <xdr:rowOff>674680</xdr:rowOff>
    </xdr:to>
    <xdr:pic>
      <xdr:nvPicPr>
        <xdr:cNvPr id="36" name="Picture 46" descr="A close-up of an elevator&#10;&#10;Description automatically generated">
          <a:extLst>
            <a:ext uri="{FF2B5EF4-FFF2-40B4-BE49-F238E27FC236}">
              <a16:creationId xmlns:a16="http://schemas.microsoft.com/office/drawing/2014/main" id="{4BEE8B10-3949-42C3-BFCB-52900CAE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687" y="1219200"/>
          <a:ext cx="1710530" cy="2008180"/>
        </a:xfrm>
        <a:prstGeom prst="rect">
          <a:avLst/>
        </a:prstGeom>
      </xdr:spPr>
    </xdr:pic>
    <xdr:clientData/>
  </xdr:twoCellAnchor>
  <xdr:twoCellAnchor editAs="oneCell">
    <xdr:from>
      <xdr:col>3</xdr:col>
      <xdr:colOff>83912</xdr:colOff>
      <xdr:row>11</xdr:row>
      <xdr:rowOff>284172</xdr:rowOff>
    </xdr:from>
    <xdr:to>
      <xdr:col>4</xdr:col>
      <xdr:colOff>249555</xdr:colOff>
      <xdr:row>13</xdr:row>
      <xdr:rowOff>323796</xdr:rowOff>
    </xdr:to>
    <xdr:pic>
      <xdr:nvPicPr>
        <xdr:cNvPr id="37" name="Picture 47">
          <a:extLst>
            <a:ext uri="{FF2B5EF4-FFF2-40B4-BE49-F238E27FC236}">
              <a16:creationId xmlns:a16="http://schemas.microsoft.com/office/drawing/2014/main" id="{F26EB026-4C35-494B-822A-5C81E135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BEBA8EAE-BF5A-486C-A8C5-ECC9F3942E4B}">
              <a14:imgProps xmlns:a14="http://schemas.microsoft.com/office/drawing/2010/main">
                <a14:imgLayer r:embed="rId41">
                  <a14:imgEffect>
                    <a14:backgroundRemoval t="10000" b="90000" l="10000" r="91100">
                      <a14:foregroundMark x1="15500" y1="69167" x2="15200" y2="68000"/>
                      <a14:foregroundMark x1="10400" y1="66333" x2="10400" y2="56000"/>
                      <a14:foregroundMark x1="11300" y1="55167" x2="17700" y2="53333"/>
                      <a14:foregroundMark x1="13600" y1="59500" x2="17600" y2="58000"/>
                      <a14:foregroundMark x1="89000" y1="47333" x2="89400" y2="53333"/>
                      <a14:foregroundMark x1="90200" y1="52833" x2="91100" y2="51833"/>
                      <a14:foregroundMark x1="18300" y1="50167" x2="25900" y2="47167"/>
                      <a14:foregroundMark x1="26200" y1="46333" x2="77700" y2="36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0087" y="7580322"/>
          <a:ext cx="1927769" cy="1220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2299607</xdr:colOff>
      <xdr:row>10</xdr:row>
      <xdr:rowOff>1364426</xdr:rowOff>
    </xdr:from>
    <xdr:to>
      <xdr:col>3</xdr:col>
      <xdr:colOff>1758825</xdr:colOff>
      <xdr:row>12</xdr:row>
      <xdr:rowOff>349581</xdr:rowOff>
    </xdr:to>
    <xdr:pic>
      <xdr:nvPicPr>
        <xdr:cNvPr id="38" name="Picture 48">
          <a:extLst>
            <a:ext uri="{FF2B5EF4-FFF2-40B4-BE49-F238E27FC236}">
              <a16:creationId xmlns:a16="http://schemas.microsoft.com/office/drawing/2014/main" id="{AC427666-E832-469D-9A1F-B21C2E8F1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BEBA8EAE-BF5A-486C-A8C5-ECC9F3942E4B}">
              <a14:imgProps xmlns:a14="http://schemas.microsoft.com/office/drawing/2010/main">
                <a14:imgLayer r:embed="rId43">
                  <a14:imgEffect>
                    <a14:backgroundRemoval t="10000" b="90000" l="10000" r="90500">
                      <a14:foregroundMark x1="14100" y1="63500" x2="38400" y2="38167"/>
                      <a14:foregroundMark x1="26900" y1="61833" x2="42500" y2="43000"/>
                      <a14:foregroundMark x1="45600" y1="54833" x2="47300" y2="48667"/>
                      <a14:foregroundMark x1="90300" y1="55333" x2="90500" y2="38667"/>
                      <a14:foregroundMark x1="36800" y1="65333" x2="33500" y2="621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0214" y="7024997"/>
          <a:ext cx="1867682" cy="1175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57149</xdr:colOff>
      <xdr:row>12</xdr:row>
      <xdr:rowOff>536780</xdr:rowOff>
    </xdr:from>
    <xdr:to>
      <xdr:col>3</xdr:col>
      <xdr:colOff>1728788</xdr:colOff>
      <xdr:row>14</xdr:row>
      <xdr:rowOff>104775</xdr:rowOff>
    </xdr:to>
    <xdr:pic>
      <xdr:nvPicPr>
        <xdr:cNvPr id="39" name="Picture 49">
          <a:extLst>
            <a:ext uri="{FF2B5EF4-FFF2-40B4-BE49-F238E27FC236}">
              <a16:creationId xmlns:a16="http://schemas.microsoft.com/office/drawing/2014/main" id="{597A45F8-8091-4319-92DC-F978DC3D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BEBA8EAE-BF5A-486C-A8C5-ECC9F3942E4B}">
              <a14:imgProps xmlns:a14="http://schemas.microsoft.com/office/drawing/2010/main">
                <a14:imgLayer r:embed="rId4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4" y="8423480"/>
          <a:ext cx="1671639" cy="749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30481</xdr:colOff>
      <xdr:row>9</xdr:row>
      <xdr:rowOff>540204</xdr:rowOff>
    </xdr:from>
    <xdr:to>
      <xdr:col>4</xdr:col>
      <xdr:colOff>23404</xdr:colOff>
      <xdr:row>10</xdr:row>
      <xdr:rowOff>1584144</xdr:rowOff>
    </xdr:to>
    <xdr:pic>
      <xdr:nvPicPr>
        <xdr:cNvPr id="40" name="Picture 50" descr="Kapılar | AH&amp;MET Asansör Ekipmanları // Asansör kabinleri, Asansör  motorları, Asansör kumanda panosu, Asansör kumanda panoları, Asansör  butonları , Asansör kabin aksesuarları, Konya asansör , Asansör Konya ,  Asansör malzemesi , Asansör kabini , Asansör ...">
          <a:extLst>
            <a:ext uri="{FF2B5EF4-FFF2-40B4-BE49-F238E27FC236}">
              <a16:creationId xmlns:a16="http://schemas.microsoft.com/office/drawing/2014/main" id="{934FC76A-5502-44E8-9AEB-65CF8D527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ackgroundRemoval t="8000" b="98667" l="10000" r="90000">
                      <a14:foregroundMark x1="31667" y1="8000" x2="31667" y2="8000"/>
                      <a14:foregroundMark x1="42667" y1="94333" x2="42667" y2="94333"/>
                      <a14:foregroundMark x1="36333" y1="98667" x2="36333" y2="98667"/>
                      <a14:foregroundMark x1="51667" y1="45667" x2="51667" y2="45667"/>
                      <a14:foregroundMark x1="55000" y1="55667" x2="55000" y2="55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6656" y="5645604"/>
          <a:ext cx="1755049" cy="1634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206830</xdr:colOff>
      <xdr:row>33</xdr:row>
      <xdr:rowOff>642258</xdr:rowOff>
    </xdr:from>
    <xdr:to>
      <xdr:col>3</xdr:col>
      <xdr:colOff>1625864</xdr:colOff>
      <xdr:row>35</xdr:row>
      <xdr:rowOff>97971</xdr:rowOff>
    </xdr:to>
    <xdr:pic>
      <xdr:nvPicPr>
        <xdr:cNvPr id="41" name="Picture 1" descr="Asansör Yağ Toplama Kabı">
          <a:extLst>
            <a:ext uri="{FF2B5EF4-FFF2-40B4-BE49-F238E27FC236}">
              <a16:creationId xmlns:a16="http://schemas.microsoft.com/office/drawing/2014/main" id="{698CE618-7349-4E6F-B1C6-D76B7A394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BEBA8EAE-BF5A-486C-A8C5-ECC9F3942E4B}">
              <a14:imgProps xmlns:a14="http://schemas.microsoft.com/office/drawing/2010/main">
                <a14:imgLayer r:embed="rId49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3005" y="17530083"/>
          <a:ext cx="1419034" cy="1055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457201</xdr:colOff>
      <xdr:row>35</xdr:row>
      <xdr:rowOff>53010</xdr:rowOff>
    </xdr:from>
    <xdr:to>
      <xdr:col>3</xdr:col>
      <xdr:colOff>1314649</xdr:colOff>
      <xdr:row>35</xdr:row>
      <xdr:rowOff>775252</xdr:rowOff>
    </xdr:to>
    <xdr:pic>
      <xdr:nvPicPr>
        <xdr:cNvPr id="42" name="Picture 9" descr="Yağdanlık">
          <a:extLst>
            <a:ext uri="{FF2B5EF4-FFF2-40B4-BE49-F238E27FC236}">
              <a16:creationId xmlns:a16="http://schemas.microsoft.com/office/drawing/2014/main" id="{EC52C345-0740-445D-8790-E779DB2A0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6" y="18541035"/>
          <a:ext cx="857448" cy="722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541045</xdr:colOff>
      <xdr:row>36</xdr:row>
      <xdr:rowOff>15767</xdr:rowOff>
    </xdr:from>
    <xdr:to>
      <xdr:col>3</xdr:col>
      <xdr:colOff>1321018</xdr:colOff>
      <xdr:row>37</xdr:row>
      <xdr:rowOff>3793</xdr:rowOff>
    </xdr:to>
    <xdr:pic>
      <xdr:nvPicPr>
        <xdr:cNvPr id="43" name="Picture 16" descr="5mm Sac Ağırlık Pateni – Metroplast Asansör Güvenlik Sistemleri">
          <a:extLst>
            <a:ext uri="{FF2B5EF4-FFF2-40B4-BE49-F238E27FC236}">
              <a16:creationId xmlns:a16="http://schemas.microsoft.com/office/drawing/2014/main" id="{BE8DC3CB-AABE-4BC6-9432-4D5B670B5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220" y="19303892"/>
          <a:ext cx="779973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430706</xdr:colOff>
      <xdr:row>36</xdr:row>
      <xdr:rowOff>711813</xdr:rowOff>
    </xdr:from>
    <xdr:to>
      <xdr:col>3</xdr:col>
      <xdr:colOff>1441755</xdr:colOff>
      <xdr:row>38</xdr:row>
      <xdr:rowOff>115613</xdr:rowOff>
    </xdr:to>
    <xdr:pic>
      <xdr:nvPicPr>
        <xdr:cNvPr id="44" name="Picture 19" descr="Pınar Asansör Plastik Pateni 70'lik 8'li Fiyatı">
          <a:extLst>
            <a:ext uri="{FF2B5EF4-FFF2-40B4-BE49-F238E27FC236}">
              <a16:creationId xmlns:a16="http://schemas.microsoft.com/office/drawing/2014/main" id="{84BE6E99-23ED-43E5-8286-4AF068C8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BEBA8EAE-BF5A-486C-A8C5-ECC9F3942E4B}">
              <a14:imgProps xmlns:a14="http://schemas.microsoft.com/office/drawing/2010/main">
                <a14:imgLayer r:embed="rId53">
                  <a14:imgEffect>
                    <a14:backgroundRemoval t="9867" b="89867" l="5067" r="98400">
                      <a14:foregroundMark x1="28533" y1="40267" x2="28533" y2="40267"/>
                      <a14:foregroundMark x1="5333" y1="51733" x2="5333" y2="51733"/>
                      <a14:foregroundMark x1="72800" y1="54400" x2="72800" y2="54400"/>
                      <a14:foregroundMark x1="93067" y1="36533" x2="93067" y2="36533"/>
                      <a14:foregroundMark x1="96267" y1="36800" x2="96267" y2="36800"/>
                      <a14:foregroundMark x1="98400" y1="37867" x2="98400" y2="378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881" y="19999938"/>
          <a:ext cx="1011049" cy="100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206827</xdr:colOff>
      <xdr:row>49</xdr:row>
      <xdr:rowOff>805541</xdr:rowOff>
    </xdr:from>
    <xdr:to>
      <xdr:col>3</xdr:col>
      <xdr:colOff>1240970</xdr:colOff>
      <xdr:row>51</xdr:row>
      <xdr:rowOff>76198</xdr:rowOff>
    </xdr:to>
    <xdr:pic>
      <xdr:nvPicPr>
        <xdr:cNvPr id="45" name="Picture 35" descr="A close-up of a digital display&#10;&#10;Description automatically generated">
          <a:extLst>
            <a:ext uri="{FF2B5EF4-FFF2-40B4-BE49-F238E27FC236}">
              <a16:creationId xmlns:a16="http://schemas.microsoft.com/office/drawing/2014/main" id="{3E52626B-6C98-4849-B821-68606C2CB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002" y="30637841"/>
          <a:ext cx="1034143" cy="1023257"/>
        </a:xfrm>
        <a:prstGeom prst="rect">
          <a:avLst/>
        </a:prstGeom>
      </xdr:spPr>
    </xdr:pic>
    <xdr:clientData/>
  </xdr:twoCellAnchor>
  <xdr:twoCellAnchor editAs="oneCell">
    <xdr:from>
      <xdr:col>3</xdr:col>
      <xdr:colOff>250370</xdr:colOff>
      <xdr:row>50</xdr:row>
      <xdr:rowOff>871044</xdr:rowOff>
    </xdr:from>
    <xdr:to>
      <xdr:col>3</xdr:col>
      <xdr:colOff>1161571</xdr:colOff>
      <xdr:row>52</xdr:row>
      <xdr:rowOff>10884</xdr:rowOff>
    </xdr:to>
    <xdr:pic>
      <xdr:nvPicPr>
        <xdr:cNvPr id="46" name="Picture 39" descr="A silver rectangular object with a red circle on it&#10;&#10;Description automatically generated">
          <a:extLst>
            <a:ext uri="{FF2B5EF4-FFF2-40B4-BE49-F238E27FC236}">
              <a16:creationId xmlns:a16="http://schemas.microsoft.com/office/drawing/2014/main" id="{004853E1-09B5-4EAF-8C4F-759A423D0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6545" y="31579644"/>
          <a:ext cx="911201" cy="8924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38</xdr:row>
      <xdr:rowOff>304800</xdr:rowOff>
    </xdr:to>
    <xdr:sp macro="" textlink="">
      <xdr:nvSpPr>
        <xdr:cNvPr id="47" name="AutoShape 1" descr="Asansör Kasnağı | Akış Asansör Motorları">
          <a:extLst>
            <a:ext uri="{FF2B5EF4-FFF2-40B4-BE49-F238E27FC236}">
              <a16:creationId xmlns:a16="http://schemas.microsoft.com/office/drawing/2014/main" id="{770D677E-4003-4524-B78A-AEBEBC7BD542}"/>
            </a:ext>
          </a:extLst>
        </xdr:cNvPr>
        <xdr:cNvSpPr>
          <a:spLocks noChangeAspect="1" noChangeArrowheads="1"/>
        </xdr:cNvSpPr>
      </xdr:nvSpPr>
      <xdr:spPr bwMode="auto">
        <a:xfrm>
          <a:off x="2676525" y="208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38</xdr:row>
      <xdr:rowOff>304800</xdr:rowOff>
    </xdr:to>
    <xdr:sp macro="" textlink="">
      <xdr:nvSpPr>
        <xdr:cNvPr id="48" name="AutoShape 2" descr="Asansör Kasnağı | Akış Asansör Motorları">
          <a:extLst>
            <a:ext uri="{FF2B5EF4-FFF2-40B4-BE49-F238E27FC236}">
              <a16:creationId xmlns:a16="http://schemas.microsoft.com/office/drawing/2014/main" id="{C80A9741-AA76-4DB5-8A62-68EC9FA4CA11}"/>
            </a:ext>
          </a:extLst>
        </xdr:cNvPr>
        <xdr:cNvSpPr>
          <a:spLocks noChangeAspect="1" noChangeArrowheads="1"/>
        </xdr:cNvSpPr>
      </xdr:nvSpPr>
      <xdr:spPr bwMode="auto">
        <a:xfrm>
          <a:off x="2676525" y="208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326572</xdr:colOff>
      <xdr:row>37</xdr:row>
      <xdr:rowOff>794657</xdr:rowOff>
    </xdr:from>
    <xdr:to>
      <xdr:col>3</xdr:col>
      <xdr:colOff>1524000</xdr:colOff>
      <xdr:row>39</xdr:row>
      <xdr:rowOff>33903</xdr:rowOff>
    </xdr:to>
    <xdr:pic>
      <xdr:nvPicPr>
        <xdr:cNvPr id="49" name="Picture 29" descr="Asansör Kasnağı">
          <a:extLst>
            <a:ext uri="{FF2B5EF4-FFF2-40B4-BE49-F238E27FC236}">
              <a16:creationId xmlns:a16="http://schemas.microsoft.com/office/drawing/2014/main" id="{AC9A7927-2945-4481-9E43-0DA5577C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backgroundRemoval t="8594" b="92708" l="9896" r="89974">
                      <a14:foregroundMark x1="51953" y1="8594" x2="55208" y2="8594"/>
                      <a14:foregroundMark x1="53776" y1="89844" x2="50911" y2="90234"/>
                      <a14:foregroundMark x1="54167" y1="92708" x2="51953" y2="927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2747" y="20882882"/>
          <a:ext cx="1197428" cy="118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38</xdr:row>
      <xdr:rowOff>0</xdr:rowOff>
    </xdr:from>
    <xdr:ext cx="304800" cy="301240"/>
    <xdr:sp macro="" textlink="">
      <xdr:nvSpPr>
        <xdr:cNvPr id="50" name="AutoShape 1" descr="Asansör Kasnağı | Akış Asansör Motorları">
          <a:extLst>
            <a:ext uri="{FF2B5EF4-FFF2-40B4-BE49-F238E27FC236}">
              <a16:creationId xmlns:a16="http://schemas.microsoft.com/office/drawing/2014/main" id="{FD6F71CD-44ED-41BF-AE54-AA09403C6E2E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0916900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38</xdr:row>
      <xdr:rowOff>0</xdr:rowOff>
    </xdr:from>
    <xdr:ext cx="304800" cy="301240"/>
    <xdr:sp macro="" textlink="">
      <xdr:nvSpPr>
        <xdr:cNvPr id="51" name="AutoShape 2" descr="Asansör Kasnağı | Akış Asansör Motorları">
          <a:extLst>
            <a:ext uri="{FF2B5EF4-FFF2-40B4-BE49-F238E27FC236}">
              <a16:creationId xmlns:a16="http://schemas.microsoft.com/office/drawing/2014/main" id="{4EA40D1A-D542-4606-BCDD-7028C9470EE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0916900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38</xdr:row>
      <xdr:rowOff>0</xdr:rowOff>
    </xdr:from>
    <xdr:ext cx="304800" cy="301240"/>
    <xdr:sp macro="" textlink="">
      <xdr:nvSpPr>
        <xdr:cNvPr id="52" name="AutoShape 1" descr="Asansör Kasnağı | Akış Asansör Motorları">
          <a:extLst>
            <a:ext uri="{FF2B5EF4-FFF2-40B4-BE49-F238E27FC236}">
              <a16:creationId xmlns:a16="http://schemas.microsoft.com/office/drawing/2014/main" id="{669727F6-675B-48A9-8A94-6C57D6A69E0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0916900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38</xdr:row>
      <xdr:rowOff>0</xdr:rowOff>
    </xdr:from>
    <xdr:ext cx="304800" cy="301240"/>
    <xdr:sp macro="" textlink="">
      <xdr:nvSpPr>
        <xdr:cNvPr id="53" name="AutoShape 2" descr="Asansör Kasnağı | Akış Asansör Motorları">
          <a:extLst>
            <a:ext uri="{FF2B5EF4-FFF2-40B4-BE49-F238E27FC236}">
              <a16:creationId xmlns:a16="http://schemas.microsoft.com/office/drawing/2014/main" id="{47775197-D7C2-4DA6-8405-A18B30217E8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0916900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37353</xdr:colOff>
      <xdr:row>22</xdr:row>
      <xdr:rowOff>0</xdr:rowOff>
    </xdr:from>
    <xdr:to>
      <xdr:col>41</xdr:col>
      <xdr:colOff>205442</xdr:colOff>
      <xdr:row>45</xdr:row>
      <xdr:rowOff>130735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D703A0C-B216-84A0-B800-D286DFBF8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583088" y="2988235"/>
          <a:ext cx="6144560" cy="44263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</xdr:row>
      <xdr:rowOff>0</xdr:rowOff>
    </xdr:from>
    <xdr:ext cx="304800" cy="301240"/>
    <xdr:sp macro="" textlink="">
      <xdr:nvSpPr>
        <xdr:cNvPr id="2" name="AutoShape 1" descr="Asansör Kasnağı | Akış Asansör Motorları">
          <a:extLst>
            <a:ext uri="{FF2B5EF4-FFF2-40B4-BE49-F238E27FC236}">
              <a16:creationId xmlns:a16="http://schemas.microsoft.com/office/drawing/2014/main" id="{FF160240-B4EC-468C-8526-6AA27DC876A6}"/>
            </a:ext>
          </a:extLst>
        </xdr:cNvPr>
        <xdr:cNvSpPr>
          <a:spLocks noChangeAspect="1" noChangeArrowheads="1"/>
        </xdr:cNvSpPr>
      </xdr:nvSpPr>
      <xdr:spPr bwMode="auto">
        <a:xfrm>
          <a:off x="2676525" y="202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01240"/>
    <xdr:sp macro="" textlink="">
      <xdr:nvSpPr>
        <xdr:cNvPr id="3" name="AutoShape 2" descr="Asansör Kasnağı | Akış Asansör Motorları">
          <a:extLst>
            <a:ext uri="{FF2B5EF4-FFF2-40B4-BE49-F238E27FC236}">
              <a16:creationId xmlns:a16="http://schemas.microsoft.com/office/drawing/2014/main" id="{7D95AA2A-89C4-40A4-AC27-9849DF7DCAE5}"/>
            </a:ext>
          </a:extLst>
        </xdr:cNvPr>
        <xdr:cNvSpPr>
          <a:spLocks noChangeAspect="1" noChangeArrowheads="1"/>
        </xdr:cNvSpPr>
      </xdr:nvSpPr>
      <xdr:spPr bwMode="auto">
        <a:xfrm>
          <a:off x="2676525" y="202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</xdr:row>
      <xdr:rowOff>0</xdr:rowOff>
    </xdr:from>
    <xdr:ext cx="304800" cy="301240"/>
    <xdr:sp macro="" textlink="">
      <xdr:nvSpPr>
        <xdr:cNvPr id="2" name="AutoShape 1" descr="Asansör Kasnağı | Akış Asansör Motorları">
          <a:extLst>
            <a:ext uri="{FF2B5EF4-FFF2-40B4-BE49-F238E27FC236}">
              <a16:creationId xmlns:a16="http://schemas.microsoft.com/office/drawing/2014/main" id="{E0F89144-C5F8-4503-AE23-E44950B1D991}"/>
            </a:ext>
          </a:extLst>
        </xdr:cNvPr>
        <xdr:cNvSpPr>
          <a:spLocks noChangeAspect="1" noChangeArrowheads="1"/>
        </xdr:cNvSpPr>
      </xdr:nvSpPr>
      <xdr:spPr bwMode="auto">
        <a:xfrm>
          <a:off x="285750" y="11325225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304800" cy="301240"/>
    <xdr:sp macro="" textlink="">
      <xdr:nvSpPr>
        <xdr:cNvPr id="3" name="AutoShape 2" descr="Asansör Kasnağı | Akış Asansör Motorları">
          <a:extLst>
            <a:ext uri="{FF2B5EF4-FFF2-40B4-BE49-F238E27FC236}">
              <a16:creationId xmlns:a16="http://schemas.microsoft.com/office/drawing/2014/main" id="{189563C4-B9EF-4142-80B0-9F38D68DC5C3}"/>
            </a:ext>
          </a:extLst>
        </xdr:cNvPr>
        <xdr:cNvSpPr>
          <a:spLocks noChangeAspect="1" noChangeArrowheads="1"/>
        </xdr:cNvSpPr>
      </xdr:nvSpPr>
      <xdr:spPr bwMode="auto">
        <a:xfrm>
          <a:off x="285750" y="11325225"/>
          <a:ext cx="304800" cy="30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FE77-1D66-4C80-B94A-AE1FF3A5155E}">
  <sheetPr codeName="Feuil3"/>
  <dimension ref="A1:W290"/>
  <sheetViews>
    <sheetView topLeftCell="C1" zoomScale="60" zoomScaleNormal="60" workbookViewId="0">
      <pane ySplit="2" topLeftCell="A3" activePane="bottomLeft" state="frozen"/>
      <selection pane="bottomLeft" activeCell="O7" sqref="O7"/>
    </sheetView>
  </sheetViews>
  <sheetFormatPr baseColWidth="10" defaultColWidth="9.140625" defaultRowHeight="15.75" x14ac:dyDescent="0.25"/>
  <cols>
    <col min="1" max="1" width="4" customWidth="1"/>
    <col min="2" max="2" width="36.140625" style="34" customWidth="1"/>
    <col min="3" max="3" width="36.140625" style="75" customWidth="1"/>
    <col min="4" max="4" width="26.42578125" customWidth="1"/>
    <col min="5" max="5" width="5.5703125" style="1" customWidth="1"/>
    <col min="6" max="6" width="10.7109375" style="1" customWidth="1"/>
    <col min="7" max="7" width="30" style="95" customWidth="1"/>
    <col min="8" max="8" width="19.42578125" style="1" customWidth="1"/>
    <col min="9" max="9" width="19.7109375" style="1" customWidth="1"/>
    <col min="10" max="10" width="16.5703125" style="1" customWidth="1"/>
    <col min="11" max="11" width="3.28515625" style="1" customWidth="1"/>
    <col min="12" max="13" width="25.7109375" style="1" customWidth="1"/>
    <col min="14" max="14" width="11.42578125"/>
    <col min="15" max="15" width="26.140625" customWidth="1"/>
    <col min="16" max="16" width="17.140625" customWidth="1"/>
    <col min="17" max="17" width="22" customWidth="1"/>
  </cols>
  <sheetData>
    <row r="1" spans="1:18" ht="16.5" thickBot="1" x14ac:dyDescent="0.3">
      <c r="N1" s="246" t="s">
        <v>362</v>
      </c>
      <c r="O1" s="246"/>
      <c r="P1" s="246"/>
      <c r="Q1" s="246"/>
    </row>
    <row r="2" spans="1:18" s="33" customFormat="1" ht="58.15" customHeight="1" thickBot="1" x14ac:dyDescent="0.3">
      <c r="A2" s="74"/>
      <c r="B2" s="70" t="s">
        <v>188</v>
      </c>
      <c r="C2" s="71" t="s">
        <v>212</v>
      </c>
      <c r="D2" s="72" t="s">
        <v>186</v>
      </c>
      <c r="E2" s="72" t="s">
        <v>183</v>
      </c>
      <c r="F2" s="72" t="s">
        <v>184</v>
      </c>
      <c r="G2" s="72" t="s">
        <v>203</v>
      </c>
      <c r="H2" s="72" t="s">
        <v>185</v>
      </c>
      <c r="I2" s="72" t="s">
        <v>294</v>
      </c>
      <c r="J2" s="72" t="s">
        <v>295</v>
      </c>
      <c r="K2" s="72"/>
      <c r="L2" s="73" t="s">
        <v>299</v>
      </c>
      <c r="M2" s="73" t="s">
        <v>300</v>
      </c>
      <c r="N2" s="72"/>
      <c r="O2" s="73" t="s">
        <v>330</v>
      </c>
      <c r="P2" s="72"/>
      <c r="Q2" s="73" t="s">
        <v>331</v>
      </c>
      <c r="R2" s="33" t="s">
        <v>332</v>
      </c>
    </row>
    <row r="3" spans="1:18" ht="19.149999999999999" customHeight="1" thickBot="1" x14ac:dyDescent="0.35">
      <c r="A3" s="108" t="s">
        <v>187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109"/>
      <c r="M3" s="109"/>
      <c r="N3" s="94"/>
      <c r="O3" s="109"/>
      <c r="P3" s="94"/>
      <c r="Q3" s="109"/>
    </row>
    <row r="4" spans="1:18" ht="54.6" customHeight="1" thickBot="1" x14ac:dyDescent="0.3">
      <c r="A4" s="247" t="s">
        <v>194</v>
      </c>
      <c r="B4" s="37" t="s">
        <v>349</v>
      </c>
      <c r="C4" s="76" t="s">
        <v>353</v>
      </c>
      <c r="D4" s="253"/>
      <c r="E4" s="255" t="s">
        <v>202</v>
      </c>
      <c r="F4" s="255">
        <v>1</v>
      </c>
      <c r="G4" s="141">
        <v>1475</v>
      </c>
      <c r="H4" s="39" t="s">
        <v>190</v>
      </c>
      <c r="I4" s="257">
        <v>1400</v>
      </c>
      <c r="J4" s="243">
        <v>155</v>
      </c>
      <c r="K4" s="46"/>
      <c r="L4" s="49">
        <v>18500</v>
      </c>
      <c r="M4" s="49">
        <v>15500</v>
      </c>
      <c r="N4" s="46"/>
      <c r="O4" s="49">
        <v>0</v>
      </c>
      <c r="P4" s="46"/>
      <c r="Q4" s="49">
        <v>16000</v>
      </c>
      <c r="R4">
        <v>12000</v>
      </c>
    </row>
    <row r="5" spans="1:18" ht="54.6" customHeight="1" thickBot="1" x14ac:dyDescent="0.3">
      <c r="A5" s="248"/>
      <c r="B5" s="58" t="s">
        <v>348</v>
      </c>
      <c r="C5" s="76" t="s">
        <v>296</v>
      </c>
      <c r="D5" s="254"/>
      <c r="E5" s="256"/>
      <c r="F5" s="256"/>
      <c r="G5" s="142">
        <v>1000</v>
      </c>
      <c r="H5" s="59"/>
      <c r="I5" s="258"/>
      <c r="J5" s="244"/>
      <c r="K5" s="60"/>
      <c r="L5" s="61"/>
      <c r="M5" s="89"/>
      <c r="N5" s="47"/>
      <c r="O5" s="50">
        <v>0</v>
      </c>
      <c r="P5" s="47"/>
      <c r="Q5" s="137"/>
    </row>
    <row r="6" spans="1:18" ht="54.6" customHeight="1" thickBot="1" x14ac:dyDescent="0.3">
      <c r="A6" s="248"/>
      <c r="B6" s="58" t="s">
        <v>350</v>
      </c>
      <c r="C6" s="76" t="s">
        <v>296</v>
      </c>
      <c r="D6" s="254"/>
      <c r="E6" s="256"/>
      <c r="F6" s="256"/>
      <c r="G6" s="142">
        <v>1400</v>
      </c>
      <c r="H6" s="59"/>
      <c r="I6" s="258"/>
      <c r="J6" s="244"/>
      <c r="K6" s="60"/>
      <c r="L6" s="61"/>
      <c r="M6" s="89"/>
      <c r="N6" s="48"/>
      <c r="O6" s="51">
        <v>0</v>
      </c>
      <c r="P6" s="48"/>
      <c r="Q6" s="128">
        <v>8500</v>
      </c>
      <c r="R6">
        <v>6000</v>
      </c>
    </row>
    <row r="7" spans="1:18" ht="54.6" customHeight="1" thickBot="1" x14ac:dyDescent="0.3">
      <c r="A7" s="248"/>
      <c r="B7" s="40" t="s">
        <v>352</v>
      </c>
      <c r="C7" s="77" t="s">
        <v>351</v>
      </c>
      <c r="D7" s="254"/>
      <c r="E7" s="256"/>
      <c r="F7" s="256"/>
      <c r="G7" s="142">
        <v>450</v>
      </c>
      <c r="H7" s="41" t="s">
        <v>190</v>
      </c>
      <c r="I7" s="258"/>
      <c r="J7" s="244"/>
      <c r="K7" s="47"/>
      <c r="L7" s="50">
        <v>7700</v>
      </c>
      <c r="M7" s="57">
        <v>7800</v>
      </c>
      <c r="N7" s="234" t="s">
        <v>301</v>
      </c>
      <c r="O7" s="49">
        <v>8500</v>
      </c>
      <c r="P7" s="234" t="s">
        <v>302</v>
      </c>
      <c r="Q7" s="49">
        <v>7500</v>
      </c>
    </row>
    <row r="8" spans="1:18" ht="46.9" customHeight="1" x14ac:dyDescent="0.25">
      <c r="A8" s="247" t="s">
        <v>34</v>
      </c>
      <c r="B8" s="37" t="s">
        <v>192</v>
      </c>
      <c r="C8" s="76" t="s">
        <v>236</v>
      </c>
      <c r="D8" s="253"/>
      <c r="E8" s="38" t="s">
        <v>189</v>
      </c>
      <c r="F8" s="38">
        <v>1</v>
      </c>
      <c r="G8" s="97">
        <v>330</v>
      </c>
      <c r="H8" s="39" t="s">
        <v>190</v>
      </c>
      <c r="I8" s="258"/>
      <c r="J8" s="244"/>
      <c r="K8" s="234" t="s">
        <v>301</v>
      </c>
      <c r="L8" s="49">
        <v>8500</v>
      </c>
      <c r="M8" s="49">
        <v>7800</v>
      </c>
      <c r="N8" s="235"/>
      <c r="O8" s="50">
        <v>4600</v>
      </c>
      <c r="P8" s="235"/>
      <c r="Q8" s="50">
        <v>4100</v>
      </c>
    </row>
    <row r="9" spans="1:18" ht="46.9" customHeight="1" thickBot="1" x14ac:dyDescent="0.3">
      <c r="A9" s="248"/>
      <c r="B9" s="40" t="s">
        <v>191</v>
      </c>
      <c r="C9" s="77" t="s">
        <v>235</v>
      </c>
      <c r="D9" s="254"/>
      <c r="E9" s="6" t="s">
        <v>189</v>
      </c>
      <c r="F9" s="6">
        <v>1</v>
      </c>
      <c r="G9" s="98">
        <v>225</v>
      </c>
      <c r="H9" s="41" t="s">
        <v>190</v>
      </c>
      <c r="I9" s="258"/>
      <c r="J9" s="244"/>
      <c r="K9" s="235"/>
      <c r="L9" s="50">
        <v>4600</v>
      </c>
      <c r="M9" s="50">
        <v>4700</v>
      </c>
      <c r="N9" s="236"/>
      <c r="O9" s="51">
        <v>3500</v>
      </c>
      <c r="P9" s="236"/>
      <c r="Q9" s="51">
        <v>3100</v>
      </c>
    </row>
    <row r="10" spans="1:18" ht="46.9" customHeight="1" thickBot="1" x14ac:dyDescent="0.3">
      <c r="A10" s="249"/>
      <c r="B10" s="43" t="s">
        <v>193</v>
      </c>
      <c r="C10" s="78" t="s">
        <v>234</v>
      </c>
      <c r="D10" s="252"/>
      <c r="E10" s="44" t="s">
        <v>189</v>
      </c>
      <c r="F10" s="44">
        <v>1</v>
      </c>
      <c r="G10" s="99">
        <v>185</v>
      </c>
      <c r="H10" s="45" t="s">
        <v>190</v>
      </c>
      <c r="I10" s="258"/>
      <c r="J10" s="244"/>
      <c r="K10" s="236"/>
      <c r="L10" s="51">
        <v>3500</v>
      </c>
      <c r="M10" s="51">
        <v>2900</v>
      </c>
      <c r="N10" s="46"/>
      <c r="O10" s="49">
        <v>0</v>
      </c>
      <c r="P10" s="46"/>
      <c r="Q10" s="49">
        <v>2600</v>
      </c>
    </row>
    <row r="11" spans="1:18" ht="126.6" customHeight="1" x14ac:dyDescent="0.25">
      <c r="A11" s="247" t="s">
        <v>278</v>
      </c>
      <c r="B11" s="37" t="s">
        <v>279</v>
      </c>
      <c r="C11" s="76" t="s">
        <v>297</v>
      </c>
      <c r="D11" s="91"/>
      <c r="E11" s="38" t="s">
        <v>189</v>
      </c>
      <c r="F11" s="38">
        <v>1</v>
      </c>
      <c r="G11" s="97">
        <v>110</v>
      </c>
      <c r="H11" s="39" t="s">
        <v>190</v>
      </c>
      <c r="I11" s="258"/>
      <c r="J11" s="244"/>
      <c r="K11" s="46"/>
      <c r="L11" s="49">
        <v>0</v>
      </c>
      <c r="M11" s="49">
        <v>2500</v>
      </c>
      <c r="N11" s="60"/>
      <c r="O11" s="61">
        <v>0</v>
      </c>
      <c r="P11" s="60"/>
      <c r="Q11" s="61">
        <v>0</v>
      </c>
    </row>
    <row r="12" spans="1:18" ht="46.9" customHeight="1" x14ac:dyDescent="0.25">
      <c r="A12" s="248"/>
      <c r="B12" s="58" t="s">
        <v>280</v>
      </c>
      <c r="C12" s="80" t="s">
        <v>283</v>
      </c>
      <c r="D12" s="90"/>
      <c r="E12" s="7" t="s">
        <v>189</v>
      </c>
      <c r="F12" s="7">
        <v>1</v>
      </c>
      <c r="G12" s="100">
        <v>18</v>
      </c>
      <c r="H12" s="59" t="s">
        <v>190</v>
      </c>
      <c r="I12" s="258"/>
      <c r="J12" s="244"/>
      <c r="K12" s="60"/>
      <c r="L12" s="61">
        <v>0</v>
      </c>
      <c r="M12" s="61">
        <v>600</v>
      </c>
      <c r="N12" s="60"/>
      <c r="O12" s="61">
        <v>1200</v>
      </c>
      <c r="P12" s="60"/>
      <c r="Q12" s="61">
        <v>1200</v>
      </c>
    </row>
    <row r="13" spans="1:18" ht="46.9" customHeight="1" thickBot="1" x14ac:dyDescent="0.3">
      <c r="A13" s="248"/>
      <c r="B13" s="40" t="s">
        <v>281</v>
      </c>
      <c r="C13" s="77" t="s">
        <v>282</v>
      </c>
      <c r="D13" s="92"/>
      <c r="E13" s="6" t="s">
        <v>189</v>
      </c>
      <c r="F13" s="7">
        <v>1</v>
      </c>
      <c r="G13" s="100">
        <v>44</v>
      </c>
      <c r="H13" s="59" t="s">
        <v>190</v>
      </c>
      <c r="I13" s="258"/>
      <c r="J13" s="244"/>
      <c r="K13" s="60"/>
      <c r="L13" s="61">
        <v>0</v>
      </c>
      <c r="M13" s="61">
        <v>1000</v>
      </c>
      <c r="N13" s="60"/>
      <c r="O13" s="61">
        <v>0</v>
      </c>
      <c r="P13" s="60"/>
      <c r="Q13" s="61">
        <v>0</v>
      </c>
    </row>
    <row r="14" spans="1:18" ht="46.9" customHeight="1" thickBot="1" x14ac:dyDescent="0.3">
      <c r="A14" s="248"/>
      <c r="B14" s="58" t="s">
        <v>285</v>
      </c>
      <c r="C14" s="80" t="s">
        <v>284</v>
      </c>
      <c r="D14" s="54"/>
      <c r="E14" s="7" t="s">
        <v>189</v>
      </c>
      <c r="F14" s="7">
        <v>1</v>
      </c>
      <c r="G14" s="100">
        <v>6.8</v>
      </c>
      <c r="H14" s="59" t="s">
        <v>190</v>
      </c>
      <c r="I14" s="258"/>
      <c r="J14" s="244"/>
      <c r="K14" s="60"/>
      <c r="L14" s="61">
        <v>0</v>
      </c>
      <c r="M14" s="61">
        <v>260</v>
      </c>
      <c r="N14" s="46"/>
      <c r="O14" s="49">
        <v>19800</v>
      </c>
      <c r="P14" s="46"/>
      <c r="Q14" s="49">
        <v>19000</v>
      </c>
    </row>
    <row r="15" spans="1:18" ht="37.15" customHeight="1" x14ac:dyDescent="0.25">
      <c r="A15" s="247" t="s">
        <v>50</v>
      </c>
      <c r="B15" s="37" t="s">
        <v>275</v>
      </c>
      <c r="C15" s="76" t="s">
        <v>377</v>
      </c>
      <c r="D15" s="253"/>
      <c r="E15" s="38" t="s">
        <v>189</v>
      </c>
      <c r="F15" s="38">
        <v>1</v>
      </c>
      <c r="G15" s="97">
        <v>752</v>
      </c>
      <c r="H15" s="39" t="s">
        <v>305</v>
      </c>
      <c r="I15" s="258"/>
      <c r="J15" s="244"/>
      <c r="K15" s="46"/>
      <c r="L15" s="49">
        <v>0</v>
      </c>
      <c r="M15" s="49">
        <v>0</v>
      </c>
      <c r="N15" s="47"/>
      <c r="O15" s="50">
        <v>0</v>
      </c>
      <c r="P15" s="47"/>
      <c r="Q15" s="50">
        <v>0</v>
      </c>
    </row>
    <row r="16" spans="1:18" ht="37.15" customHeight="1" x14ac:dyDescent="0.25">
      <c r="A16" s="248"/>
      <c r="B16" s="40" t="s">
        <v>276</v>
      </c>
      <c r="C16" s="77" t="s">
        <v>378</v>
      </c>
      <c r="D16" s="254"/>
      <c r="E16" s="6" t="s">
        <v>189</v>
      </c>
      <c r="F16" s="6">
        <v>1</v>
      </c>
      <c r="G16" s="98">
        <v>762</v>
      </c>
      <c r="H16" s="41" t="s">
        <v>305</v>
      </c>
      <c r="I16" s="258"/>
      <c r="J16" s="244"/>
      <c r="K16" s="47"/>
      <c r="L16" s="50">
        <v>0</v>
      </c>
      <c r="M16" s="50">
        <v>0</v>
      </c>
      <c r="N16" s="47"/>
      <c r="O16" s="50">
        <v>0</v>
      </c>
      <c r="P16" s="47"/>
      <c r="Q16" s="50">
        <v>19500</v>
      </c>
    </row>
    <row r="17" spans="1:18" ht="31.15" customHeight="1" thickBot="1" x14ac:dyDescent="0.3">
      <c r="A17" s="248"/>
      <c r="B17" s="40" t="s">
        <v>195</v>
      </c>
      <c r="C17" s="77" t="s">
        <v>379</v>
      </c>
      <c r="D17" s="254"/>
      <c r="E17" s="6" t="s">
        <v>189</v>
      </c>
      <c r="F17" s="6">
        <v>1</v>
      </c>
      <c r="G17" s="98">
        <v>975</v>
      </c>
      <c r="H17" s="41" t="s">
        <v>305</v>
      </c>
      <c r="I17" s="258"/>
      <c r="J17" s="244"/>
      <c r="K17" s="47"/>
      <c r="L17" s="50">
        <v>0</v>
      </c>
      <c r="M17" s="50">
        <v>0</v>
      </c>
      <c r="N17" s="48"/>
      <c r="O17" s="51">
        <v>0</v>
      </c>
      <c r="P17" s="48"/>
      <c r="Q17" s="51">
        <v>0</v>
      </c>
    </row>
    <row r="18" spans="1:18" ht="31.15" customHeight="1" thickBot="1" x14ac:dyDescent="0.3">
      <c r="A18" s="249"/>
      <c r="B18" s="43" t="s">
        <v>196</v>
      </c>
      <c r="C18" s="78" t="s">
        <v>380</v>
      </c>
      <c r="D18" s="252"/>
      <c r="E18" s="44" t="s">
        <v>189</v>
      </c>
      <c r="F18" s="44">
        <v>1</v>
      </c>
      <c r="G18" s="99">
        <v>1070</v>
      </c>
      <c r="H18" s="45" t="s">
        <v>305</v>
      </c>
      <c r="I18" s="258"/>
      <c r="J18" s="244"/>
      <c r="K18" s="48"/>
      <c r="L18" s="51">
        <v>0</v>
      </c>
      <c r="M18" s="51">
        <v>0</v>
      </c>
      <c r="N18" s="46"/>
      <c r="O18" s="49">
        <v>0</v>
      </c>
      <c r="P18" s="46"/>
      <c r="Q18" s="49">
        <v>14</v>
      </c>
    </row>
    <row r="19" spans="1:18" ht="31.15" customHeight="1" x14ac:dyDescent="0.25">
      <c r="A19" s="247" t="s">
        <v>201</v>
      </c>
      <c r="B19" s="37" t="s">
        <v>197</v>
      </c>
      <c r="C19" s="76" t="s">
        <v>392</v>
      </c>
      <c r="D19" s="253"/>
      <c r="E19" s="38" t="s">
        <v>189</v>
      </c>
      <c r="F19" s="38">
        <v>1</v>
      </c>
      <c r="G19" s="97">
        <v>0.6</v>
      </c>
      <c r="H19" s="39" t="s">
        <v>190</v>
      </c>
      <c r="I19" s="258"/>
      <c r="J19" s="244"/>
      <c r="K19" s="46"/>
      <c r="L19" s="49">
        <v>25</v>
      </c>
      <c r="M19" s="49">
        <v>22</v>
      </c>
      <c r="N19" s="47"/>
      <c r="O19" s="50">
        <v>0</v>
      </c>
      <c r="P19" s="47"/>
      <c r="Q19" s="50">
        <v>16</v>
      </c>
    </row>
    <row r="20" spans="1:18" ht="31.15" customHeight="1" x14ac:dyDescent="0.25">
      <c r="A20" s="248"/>
      <c r="B20" s="40" t="s">
        <v>198</v>
      </c>
      <c r="C20" s="77" t="s">
        <v>393</v>
      </c>
      <c r="D20" s="251"/>
      <c r="E20" s="6" t="s">
        <v>189</v>
      </c>
      <c r="F20" s="6">
        <v>1</v>
      </c>
      <c r="G20" s="98">
        <v>0.9</v>
      </c>
      <c r="H20" s="41" t="s">
        <v>190</v>
      </c>
      <c r="I20" s="258"/>
      <c r="J20" s="244"/>
      <c r="K20" s="47"/>
      <c r="L20" s="50">
        <v>31</v>
      </c>
      <c r="M20" s="50">
        <v>28</v>
      </c>
      <c r="N20" s="47"/>
      <c r="O20" s="50">
        <v>9</v>
      </c>
      <c r="P20" s="47"/>
      <c r="Q20" s="237">
        <v>15</v>
      </c>
    </row>
    <row r="21" spans="1:18" ht="22.15" customHeight="1" x14ac:dyDescent="0.25">
      <c r="A21" s="248"/>
      <c r="B21" s="40" t="s">
        <v>204</v>
      </c>
      <c r="C21" s="77" t="s">
        <v>237</v>
      </c>
      <c r="D21" s="250"/>
      <c r="E21" s="6" t="s">
        <v>189</v>
      </c>
      <c r="F21" s="6">
        <v>1</v>
      </c>
      <c r="G21" s="98">
        <v>0.28000000000000003</v>
      </c>
      <c r="H21" s="41" t="s">
        <v>190</v>
      </c>
      <c r="I21" s="258"/>
      <c r="J21" s="244"/>
      <c r="K21" s="47"/>
      <c r="L21" s="50">
        <v>6.5</v>
      </c>
      <c r="M21" s="237">
        <v>13</v>
      </c>
      <c r="N21" s="47"/>
      <c r="O21" s="50">
        <v>7</v>
      </c>
      <c r="P21" s="47"/>
      <c r="Q21" s="238"/>
    </row>
    <row r="22" spans="1:18" ht="22.15" customHeight="1" x14ac:dyDescent="0.25">
      <c r="A22" s="248"/>
      <c r="B22" s="40" t="s">
        <v>205</v>
      </c>
      <c r="C22" s="77" t="s">
        <v>238</v>
      </c>
      <c r="D22" s="251"/>
      <c r="E22" s="6" t="s">
        <v>189</v>
      </c>
      <c r="F22" s="6">
        <v>1</v>
      </c>
      <c r="G22" s="98">
        <v>0.37</v>
      </c>
      <c r="H22" s="41" t="s">
        <v>190</v>
      </c>
      <c r="I22" s="258"/>
      <c r="J22" s="244"/>
      <c r="K22" s="47"/>
      <c r="L22" s="50">
        <v>7.5</v>
      </c>
      <c r="M22" s="238"/>
      <c r="N22" s="47"/>
      <c r="O22" s="50">
        <v>0</v>
      </c>
      <c r="P22" s="47"/>
      <c r="Q22" s="50">
        <v>2.2999999999999998</v>
      </c>
    </row>
    <row r="23" spans="1:18" ht="16.899999999999999" customHeight="1" x14ac:dyDescent="0.25">
      <c r="A23" s="248"/>
      <c r="B23" s="8" t="s">
        <v>11</v>
      </c>
      <c r="C23" s="62" t="s">
        <v>240</v>
      </c>
      <c r="D23" s="250"/>
      <c r="E23" s="6" t="s">
        <v>189</v>
      </c>
      <c r="F23" s="6">
        <v>1</v>
      </c>
      <c r="G23" s="98">
        <v>7.0000000000000007E-2</v>
      </c>
      <c r="H23" s="112" t="s">
        <v>306</v>
      </c>
      <c r="I23" s="258"/>
      <c r="J23" s="244"/>
      <c r="K23" s="47"/>
      <c r="L23" s="50">
        <v>0</v>
      </c>
      <c r="M23" s="50">
        <v>1.5</v>
      </c>
      <c r="N23" s="47"/>
      <c r="O23" s="50">
        <v>0</v>
      </c>
      <c r="P23" s="47"/>
      <c r="Q23" s="50">
        <v>3.2</v>
      </c>
    </row>
    <row r="24" spans="1:18" ht="16.899999999999999" customHeight="1" x14ac:dyDescent="0.25">
      <c r="A24" s="248"/>
      <c r="B24" s="8" t="s">
        <v>13</v>
      </c>
      <c r="C24" s="62" t="s">
        <v>239</v>
      </c>
      <c r="D24" s="254"/>
      <c r="E24" s="6" t="s">
        <v>189</v>
      </c>
      <c r="F24" s="6">
        <v>1</v>
      </c>
      <c r="G24" s="98">
        <v>0.2</v>
      </c>
      <c r="H24" s="112" t="s">
        <v>306</v>
      </c>
      <c r="I24" s="258"/>
      <c r="J24" s="244"/>
      <c r="K24" s="47"/>
      <c r="L24" s="50">
        <v>0</v>
      </c>
      <c r="M24" s="50">
        <v>2.5</v>
      </c>
      <c r="N24" s="47"/>
      <c r="O24" s="50">
        <v>0</v>
      </c>
      <c r="P24" s="47"/>
      <c r="Q24" s="50">
        <v>5</v>
      </c>
    </row>
    <row r="25" spans="1:18" ht="16.899999999999999" customHeight="1" x14ac:dyDescent="0.25">
      <c r="A25" s="248"/>
      <c r="B25" s="8" t="s">
        <v>12</v>
      </c>
      <c r="C25" s="62" t="s">
        <v>241</v>
      </c>
      <c r="D25" s="251"/>
      <c r="E25" s="6" t="s">
        <v>189</v>
      </c>
      <c r="F25" s="6">
        <v>1</v>
      </c>
      <c r="G25" s="98">
        <v>0.3</v>
      </c>
      <c r="H25" s="112" t="s">
        <v>306</v>
      </c>
      <c r="I25" s="258"/>
      <c r="J25" s="244"/>
      <c r="K25" s="47"/>
      <c r="L25" s="50">
        <v>0</v>
      </c>
      <c r="M25" s="50">
        <v>0</v>
      </c>
      <c r="N25" s="47"/>
      <c r="O25" s="50">
        <v>0</v>
      </c>
      <c r="P25" s="47"/>
      <c r="Q25" s="50">
        <v>6</v>
      </c>
    </row>
    <row r="26" spans="1:18" ht="41.45" customHeight="1" x14ac:dyDescent="0.25">
      <c r="A26" s="248"/>
      <c r="B26" s="42" t="s">
        <v>14</v>
      </c>
      <c r="C26" s="6" t="s">
        <v>242</v>
      </c>
      <c r="E26" s="6" t="s">
        <v>189</v>
      </c>
      <c r="F26" s="6">
        <v>1</v>
      </c>
      <c r="G26" s="98">
        <v>0.21</v>
      </c>
      <c r="H26" s="41" t="s">
        <v>190</v>
      </c>
      <c r="I26" s="258"/>
      <c r="J26" s="244"/>
      <c r="K26" s="47"/>
      <c r="L26" s="50">
        <v>5.8</v>
      </c>
      <c r="M26" s="50">
        <v>6</v>
      </c>
      <c r="N26" s="47"/>
      <c r="O26" s="50">
        <v>0</v>
      </c>
      <c r="P26" s="47"/>
      <c r="Q26" s="127">
        <v>1050</v>
      </c>
    </row>
    <row r="27" spans="1:18" ht="57" customHeight="1" thickBot="1" x14ac:dyDescent="0.3">
      <c r="A27" s="248"/>
      <c r="B27" s="40" t="s">
        <v>199</v>
      </c>
      <c r="C27" s="77" t="s">
        <v>248</v>
      </c>
      <c r="D27" s="250"/>
      <c r="E27" s="239" t="s">
        <v>202</v>
      </c>
      <c r="F27" s="239">
        <v>1</v>
      </c>
      <c r="G27" s="113">
        <v>16.399999999999999</v>
      </c>
      <c r="H27" s="241" t="s">
        <v>190</v>
      </c>
      <c r="I27" s="258"/>
      <c r="J27" s="244"/>
      <c r="K27" s="47"/>
      <c r="L27" s="50">
        <v>400</v>
      </c>
      <c r="M27" s="50">
        <v>400</v>
      </c>
      <c r="N27" s="48"/>
      <c r="O27" s="51">
        <v>0</v>
      </c>
      <c r="P27" s="48"/>
      <c r="Q27" s="128"/>
    </row>
    <row r="28" spans="1:18" ht="57" customHeight="1" thickBot="1" x14ac:dyDescent="0.3">
      <c r="A28" s="249"/>
      <c r="B28" s="43" t="s">
        <v>200</v>
      </c>
      <c r="C28" s="78" t="s">
        <v>247</v>
      </c>
      <c r="D28" s="252"/>
      <c r="E28" s="240"/>
      <c r="F28" s="240"/>
      <c r="G28" s="114">
        <v>32.6</v>
      </c>
      <c r="H28" s="242"/>
      <c r="I28" s="258"/>
      <c r="J28" s="244"/>
      <c r="K28" s="48"/>
      <c r="L28" s="51">
        <v>800</v>
      </c>
      <c r="M28" s="51">
        <v>800</v>
      </c>
      <c r="N28" s="88"/>
      <c r="O28" s="89"/>
      <c r="P28" s="88"/>
      <c r="Q28" s="134"/>
    </row>
    <row r="29" spans="1:18" ht="37.9" customHeight="1" x14ac:dyDescent="0.25">
      <c r="A29" s="247" t="s">
        <v>20</v>
      </c>
      <c r="B29" s="58" t="s">
        <v>206</v>
      </c>
      <c r="C29" s="80" t="s">
        <v>243</v>
      </c>
      <c r="D29" s="254"/>
      <c r="E29" s="7" t="s">
        <v>208</v>
      </c>
      <c r="F29" s="7">
        <v>1</v>
      </c>
      <c r="G29" s="100">
        <v>0.92</v>
      </c>
      <c r="H29" s="115" t="s">
        <v>306</v>
      </c>
      <c r="I29" s="258"/>
      <c r="J29" s="244"/>
      <c r="K29" s="46"/>
      <c r="L29" s="49">
        <v>18</v>
      </c>
      <c r="M29" s="49">
        <v>22</v>
      </c>
      <c r="N29" s="46"/>
      <c r="O29" s="49">
        <v>0</v>
      </c>
      <c r="P29" s="46"/>
      <c r="Q29" s="49">
        <v>18</v>
      </c>
      <c r="R29" s="75" t="s">
        <v>325</v>
      </c>
    </row>
    <row r="30" spans="1:18" ht="37.9" customHeight="1" x14ac:dyDescent="0.25">
      <c r="A30" s="248"/>
      <c r="B30" s="55" t="s">
        <v>207</v>
      </c>
      <c r="C30" s="79" t="s">
        <v>244</v>
      </c>
      <c r="D30" s="251"/>
      <c r="E30" s="36" t="s">
        <v>208</v>
      </c>
      <c r="F30" s="36">
        <v>1</v>
      </c>
      <c r="G30" s="101">
        <v>0.28000000000000003</v>
      </c>
      <c r="H30" s="116" t="s">
        <v>306</v>
      </c>
      <c r="I30" s="258"/>
      <c r="J30" s="244"/>
      <c r="K30" s="56"/>
      <c r="L30" s="57">
        <v>8</v>
      </c>
      <c r="M30" s="57">
        <v>10</v>
      </c>
      <c r="N30" s="56"/>
      <c r="O30" s="57">
        <v>0</v>
      </c>
      <c r="P30" s="56"/>
      <c r="Q30" s="57">
        <v>8</v>
      </c>
      <c r="R30" s="75" t="s">
        <v>326</v>
      </c>
    </row>
    <row r="31" spans="1:18" ht="45" customHeight="1" x14ac:dyDescent="0.25">
      <c r="A31" s="248"/>
      <c r="B31" s="40" t="s">
        <v>221</v>
      </c>
      <c r="C31" s="77" t="s">
        <v>255</v>
      </c>
      <c r="E31" s="6" t="s">
        <v>189</v>
      </c>
      <c r="F31" s="6">
        <v>1</v>
      </c>
      <c r="G31" s="101">
        <v>2.15</v>
      </c>
      <c r="H31" s="41" t="s">
        <v>190</v>
      </c>
      <c r="I31" s="258"/>
      <c r="J31" s="244"/>
      <c r="K31" s="47"/>
      <c r="L31" s="50">
        <v>0</v>
      </c>
      <c r="M31" s="50">
        <v>110</v>
      </c>
      <c r="N31" s="47"/>
      <c r="O31" s="50">
        <v>0</v>
      </c>
      <c r="P31" s="47"/>
      <c r="Q31" s="50">
        <v>90</v>
      </c>
      <c r="R31" s="75" t="s">
        <v>255</v>
      </c>
    </row>
    <row r="32" spans="1:18" ht="25.9" customHeight="1" x14ac:dyDescent="0.25">
      <c r="A32" s="248"/>
      <c r="B32" s="40" t="s">
        <v>223</v>
      </c>
      <c r="C32" s="77" t="s">
        <v>260</v>
      </c>
      <c r="D32" s="250" t="s">
        <v>274</v>
      </c>
      <c r="E32" s="6" t="s">
        <v>189</v>
      </c>
      <c r="F32" s="6">
        <v>1</v>
      </c>
      <c r="G32" s="101">
        <v>0.2</v>
      </c>
      <c r="H32" s="41" t="s">
        <v>190</v>
      </c>
      <c r="I32" s="258"/>
      <c r="J32" s="244"/>
      <c r="K32" s="47"/>
      <c r="L32" s="50">
        <v>0</v>
      </c>
      <c r="M32" s="50">
        <v>0</v>
      </c>
      <c r="N32" s="47"/>
      <c r="O32" s="50">
        <v>0</v>
      </c>
      <c r="P32" s="47"/>
      <c r="Q32" s="50">
        <v>8</v>
      </c>
      <c r="R32" s="75" t="s">
        <v>260</v>
      </c>
    </row>
    <row r="33" spans="1:18" ht="25.9" customHeight="1" thickBot="1" x14ac:dyDescent="0.3">
      <c r="A33" s="249"/>
      <c r="B33" s="43" t="s">
        <v>222</v>
      </c>
      <c r="C33" s="78" t="s">
        <v>261</v>
      </c>
      <c r="D33" s="252"/>
      <c r="E33" s="44" t="s">
        <v>189</v>
      </c>
      <c r="F33" s="44">
        <v>1</v>
      </c>
      <c r="G33" s="99">
        <v>0.1</v>
      </c>
      <c r="H33" s="45" t="s">
        <v>190</v>
      </c>
      <c r="I33" s="258"/>
      <c r="J33" s="244"/>
      <c r="K33" s="48"/>
      <c r="L33" s="51">
        <v>0</v>
      </c>
      <c r="M33" s="51">
        <v>0</v>
      </c>
      <c r="N33" s="48"/>
      <c r="O33" s="51">
        <v>0</v>
      </c>
      <c r="P33" s="48"/>
      <c r="Q33" s="51">
        <v>5</v>
      </c>
      <c r="R33" s="75" t="s">
        <v>261</v>
      </c>
    </row>
    <row r="34" spans="1:18" ht="63" customHeight="1" x14ac:dyDescent="0.25">
      <c r="A34" s="248" t="s">
        <v>209</v>
      </c>
      <c r="B34" s="37" t="s">
        <v>210</v>
      </c>
      <c r="C34" s="76" t="s">
        <v>254</v>
      </c>
      <c r="D34" s="91"/>
      <c r="E34" s="38" t="s">
        <v>189</v>
      </c>
      <c r="F34" s="38">
        <v>1</v>
      </c>
      <c r="G34" s="96">
        <v>6</v>
      </c>
      <c r="H34" s="39" t="s">
        <v>190</v>
      </c>
      <c r="I34" s="258"/>
      <c r="J34" s="244"/>
      <c r="K34" s="46"/>
      <c r="L34" s="49">
        <v>340</v>
      </c>
      <c r="M34" s="49">
        <v>0</v>
      </c>
      <c r="N34" s="46"/>
      <c r="O34" s="49">
        <v>0</v>
      </c>
      <c r="P34" s="46"/>
      <c r="Q34" s="49">
        <v>30</v>
      </c>
      <c r="R34" s="75" t="s">
        <v>254</v>
      </c>
    </row>
    <row r="35" spans="1:18" ht="63" customHeight="1" x14ac:dyDescent="0.25">
      <c r="A35" s="248"/>
      <c r="B35" s="40" t="s">
        <v>286</v>
      </c>
      <c r="C35" s="93" t="s">
        <v>293</v>
      </c>
      <c r="D35" s="2"/>
      <c r="E35" s="6" t="s">
        <v>189</v>
      </c>
      <c r="F35" s="6">
        <v>1</v>
      </c>
      <c r="G35" s="98">
        <v>0.25</v>
      </c>
      <c r="H35" s="41" t="s">
        <v>190</v>
      </c>
      <c r="I35" s="258"/>
      <c r="J35" s="244"/>
      <c r="K35" s="47"/>
      <c r="L35" s="50">
        <v>0</v>
      </c>
      <c r="M35" s="50">
        <v>0</v>
      </c>
      <c r="N35" s="47"/>
      <c r="O35" s="50">
        <v>0</v>
      </c>
      <c r="P35" s="47"/>
      <c r="Q35" s="50">
        <v>0</v>
      </c>
      <c r="R35" s="75" t="s">
        <v>293</v>
      </c>
    </row>
    <row r="36" spans="1:18" ht="63" customHeight="1" x14ac:dyDescent="0.25">
      <c r="A36" s="248"/>
      <c r="B36" s="40" t="s">
        <v>291</v>
      </c>
      <c r="C36" s="93" t="s">
        <v>292</v>
      </c>
      <c r="D36" s="2"/>
      <c r="E36" s="6" t="s">
        <v>189</v>
      </c>
      <c r="F36" s="6">
        <v>1</v>
      </c>
      <c r="G36" s="98">
        <v>1</v>
      </c>
      <c r="H36" s="41" t="s">
        <v>190</v>
      </c>
      <c r="I36" s="258"/>
      <c r="J36" s="244"/>
      <c r="K36" s="47"/>
      <c r="L36" s="50">
        <v>0</v>
      </c>
      <c r="M36" s="50">
        <v>0</v>
      </c>
      <c r="N36" s="47"/>
      <c r="O36" s="50">
        <v>0</v>
      </c>
      <c r="P36" s="47"/>
      <c r="Q36" s="50">
        <v>180</v>
      </c>
      <c r="R36" s="75" t="s">
        <v>292</v>
      </c>
    </row>
    <row r="37" spans="1:18" ht="63" customHeight="1" x14ac:dyDescent="0.25">
      <c r="A37" s="248"/>
      <c r="B37" s="40" t="s">
        <v>289</v>
      </c>
      <c r="C37" s="93" t="s">
        <v>287</v>
      </c>
      <c r="D37" s="4"/>
      <c r="E37" s="6" t="s">
        <v>189</v>
      </c>
      <c r="F37" s="6">
        <v>1</v>
      </c>
      <c r="G37" s="98">
        <v>0</v>
      </c>
      <c r="H37" s="41" t="s">
        <v>190</v>
      </c>
      <c r="I37" s="258"/>
      <c r="J37" s="244"/>
      <c r="K37" s="47"/>
      <c r="L37" s="50">
        <v>0</v>
      </c>
      <c r="M37" s="50">
        <v>0</v>
      </c>
      <c r="N37" s="47"/>
      <c r="O37" s="50">
        <v>0</v>
      </c>
      <c r="P37" s="47"/>
      <c r="Q37" s="50">
        <v>230</v>
      </c>
      <c r="R37" s="75" t="s">
        <v>287</v>
      </c>
    </row>
    <row r="38" spans="1:18" ht="63" customHeight="1" x14ac:dyDescent="0.25">
      <c r="A38" s="248"/>
      <c r="B38" s="40" t="s">
        <v>290</v>
      </c>
      <c r="C38" s="93" t="s">
        <v>288</v>
      </c>
      <c r="D38" s="92"/>
      <c r="E38" s="6" t="s">
        <v>189</v>
      </c>
      <c r="F38" s="6">
        <v>1</v>
      </c>
      <c r="G38" s="98">
        <v>0.5</v>
      </c>
      <c r="H38" s="41" t="s">
        <v>190</v>
      </c>
      <c r="I38" s="258"/>
      <c r="J38" s="244"/>
      <c r="K38" s="47"/>
      <c r="L38" s="50">
        <v>0</v>
      </c>
      <c r="M38" s="50">
        <v>0</v>
      </c>
      <c r="N38" s="47"/>
      <c r="O38" s="50">
        <v>70</v>
      </c>
      <c r="P38" s="47"/>
      <c r="Q38" s="50">
        <v>70</v>
      </c>
      <c r="R38" s="75" t="s">
        <v>288</v>
      </c>
    </row>
    <row r="39" spans="1:18" ht="90.6" customHeight="1" x14ac:dyDescent="0.25">
      <c r="A39" s="248"/>
      <c r="B39" s="85" t="s">
        <v>303</v>
      </c>
      <c r="C39" s="111" t="s">
        <v>304</v>
      </c>
      <c r="E39" s="86" t="s">
        <v>189</v>
      </c>
      <c r="F39" s="86">
        <v>1</v>
      </c>
      <c r="G39" s="110">
        <v>60</v>
      </c>
      <c r="H39" s="87" t="s">
        <v>190</v>
      </c>
      <c r="I39" s="258"/>
      <c r="J39" s="244"/>
      <c r="K39" s="88"/>
      <c r="L39" s="89">
        <v>0</v>
      </c>
      <c r="M39" s="89">
        <v>1800</v>
      </c>
      <c r="N39" s="88"/>
      <c r="O39" s="89">
        <v>1500</v>
      </c>
      <c r="P39" s="88"/>
      <c r="Q39" s="89">
        <v>1300</v>
      </c>
      <c r="R39" s="120" t="s">
        <v>304</v>
      </c>
    </row>
    <row r="40" spans="1:18" ht="72.599999999999994" customHeight="1" thickBot="1" x14ac:dyDescent="0.3">
      <c r="A40" s="249"/>
      <c r="B40" s="43" t="s">
        <v>268</v>
      </c>
      <c r="C40" s="81" t="s">
        <v>311</v>
      </c>
      <c r="D40" s="5"/>
      <c r="E40" s="44" t="s">
        <v>202</v>
      </c>
      <c r="F40" s="44">
        <v>1</v>
      </c>
      <c r="G40" s="99">
        <v>33</v>
      </c>
      <c r="H40" s="45" t="s">
        <v>190</v>
      </c>
      <c r="I40" s="258"/>
      <c r="J40" s="244"/>
      <c r="K40" s="48"/>
      <c r="L40" s="51">
        <v>255</v>
      </c>
      <c r="M40" s="51">
        <v>0</v>
      </c>
      <c r="N40" s="48"/>
      <c r="O40" s="51">
        <v>0</v>
      </c>
      <c r="P40" s="48"/>
      <c r="Q40" s="51">
        <v>0</v>
      </c>
      <c r="R40" s="75" t="s">
        <v>311</v>
      </c>
    </row>
    <row r="41" spans="1:18" ht="73.900000000000006" customHeight="1" x14ac:dyDescent="0.25">
      <c r="A41" s="247" t="s">
        <v>41</v>
      </c>
      <c r="B41" s="53" t="s">
        <v>211</v>
      </c>
      <c r="C41" s="76" t="s">
        <v>269</v>
      </c>
      <c r="D41" s="253"/>
      <c r="E41" s="38" t="s">
        <v>208</v>
      </c>
      <c r="F41" s="38">
        <v>1</v>
      </c>
      <c r="G41" s="117">
        <v>2.3E-2</v>
      </c>
      <c r="H41" s="38" t="s">
        <v>190</v>
      </c>
      <c r="I41" s="258"/>
      <c r="J41" s="244"/>
      <c r="K41" s="38"/>
      <c r="L41" s="49">
        <v>0</v>
      </c>
      <c r="M41" s="49">
        <v>0</v>
      </c>
      <c r="N41" s="38"/>
      <c r="O41" s="49">
        <v>0</v>
      </c>
      <c r="P41" s="38"/>
      <c r="Q41" s="49">
        <v>1.35</v>
      </c>
      <c r="R41" s="75" t="s">
        <v>269</v>
      </c>
    </row>
    <row r="42" spans="1:18" ht="73.900000000000006" customHeight="1" x14ac:dyDescent="0.25">
      <c r="A42" s="248"/>
      <c r="B42" s="69" t="s">
        <v>271</v>
      </c>
      <c r="C42" s="80" t="s">
        <v>272</v>
      </c>
      <c r="D42" s="251"/>
      <c r="E42" s="7" t="s">
        <v>208</v>
      </c>
      <c r="F42" s="7">
        <v>1</v>
      </c>
      <c r="G42" s="118">
        <v>0.107</v>
      </c>
      <c r="H42" s="7" t="s">
        <v>190</v>
      </c>
      <c r="I42" s="258"/>
      <c r="J42" s="244"/>
      <c r="K42" s="7"/>
      <c r="L42" s="61">
        <v>0</v>
      </c>
      <c r="M42" s="61">
        <v>0</v>
      </c>
      <c r="N42" s="7"/>
      <c r="O42" s="61">
        <v>0</v>
      </c>
      <c r="P42" s="7"/>
      <c r="Q42" s="61">
        <v>0</v>
      </c>
      <c r="R42" s="75" t="s">
        <v>272</v>
      </c>
    </row>
    <row r="43" spans="1:18" ht="49.9" customHeight="1" x14ac:dyDescent="0.25">
      <c r="A43" s="248"/>
      <c r="B43" s="35" t="s">
        <v>277</v>
      </c>
      <c r="C43" s="77" t="s">
        <v>270</v>
      </c>
      <c r="D43" s="2"/>
      <c r="E43" s="6" t="s">
        <v>208</v>
      </c>
      <c r="F43" s="6">
        <v>1</v>
      </c>
      <c r="G43" s="119">
        <v>0.122</v>
      </c>
      <c r="H43" s="6" t="s">
        <v>190</v>
      </c>
      <c r="I43" s="258"/>
      <c r="J43" s="244"/>
      <c r="K43" s="6"/>
      <c r="L43" s="50">
        <v>0</v>
      </c>
      <c r="M43" s="50">
        <v>0</v>
      </c>
      <c r="N43" s="6"/>
      <c r="O43" s="50">
        <v>0</v>
      </c>
      <c r="P43" s="6"/>
      <c r="Q43" s="50">
        <v>0</v>
      </c>
      <c r="R43" s="75" t="s">
        <v>270</v>
      </c>
    </row>
    <row r="44" spans="1:18" ht="49.9" customHeight="1" x14ac:dyDescent="0.25">
      <c r="A44" s="248"/>
      <c r="B44" s="35" t="s">
        <v>273</v>
      </c>
      <c r="C44" s="77" t="s">
        <v>273</v>
      </c>
      <c r="D44" s="2"/>
      <c r="E44" s="6" t="s">
        <v>208</v>
      </c>
      <c r="F44" s="6">
        <v>1</v>
      </c>
      <c r="G44" s="119">
        <v>0.13700000000000001</v>
      </c>
      <c r="H44" s="6" t="s">
        <v>190</v>
      </c>
      <c r="I44" s="258"/>
      <c r="J44" s="244"/>
      <c r="K44" s="6"/>
      <c r="L44" s="50">
        <v>0</v>
      </c>
      <c r="M44" s="50">
        <v>0</v>
      </c>
      <c r="N44" s="6"/>
      <c r="O44" s="50">
        <v>0</v>
      </c>
      <c r="P44" s="6"/>
      <c r="Q44" s="50">
        <v>0</v>
      </c>
      <c r="R44" s="75" t="s">
        <v>273</v>
      </c>
    </row>
    <row r="45" spans="1:18" ht="52.9" customHeight="1" x14ac:dyDescent="0.25">
      <c r="A45" s="248"/>
      <c r="B45" s="35" t="s">
        <v>213</v>
      </c>
      <c r="C45" s="77" t="s">
        <v>312</v>
      </c>
      <c r="D45" s="2"/>
      <c r="E45" s="6" t="s">
        <v>208</v>
      </c>
      <c r="F45" s="6">
        <v>1</v>
      </c>
      <c r="G45" s="119">
        <v>1.5432999999999999</v>
      </c>
      <c r="H45" s="6" t="s">
        <v>190</v>
      </c>
      <c r="I45" s="258"/>
      <c r="J45" s="244"/>
      <c r="K45" s="6"/>
      <c r="L45" s="50">
        <v>68</v>
      </c>
      <c r="M45" s="50">
        <v>68</v>
      </c>
      <c r="N45" s="6"/>
      <c r="O45" s="50">
        <v>46</v>
      </c>
      <c r="P45" s="6"/>
      <c r="Q45" s="50">
        <v>45</v>
      </c>
      <c r="R45" s="75" t="s">
        <v>312</v>
      </c>
    </row>
    <row r="46" spans="1:18" ht="51" customHeight="1" x14ac:dyDescent="0.25">
      <c r="A46" s="248"/>
      <c r="B46" s="35" t="s">
        <v>214</v>
      </c>
      <c r="C46" s="77" t="s">
        <v>313</v>
      </c>
      <c r="D46" s="2"/>
      <c r="E46" s="6" t="s">
        <v>208</v>
      </c>
      <c r="F46" s="6">
        <v>1</v>
      </c>
      <c r="G46" s="119">
        <v>0.8</v>
      </c>
      <c r="H46" s="6" t="s">
        <v>190</v>
      </c>
      <c r="I46" s="258"/>
      <c r="J46" s="244"/>
      <c r="K46" s="6"/>
      <c r="L46" s="50">
        <v>0</v>
      </c>
      <c r="M46" s="50">
        <v>100</v>
      </c>
      <c r="N46" s="6"/>
      <c r="O46" s="50">
        <v>0</v>
      </c>
      <c r="P46" s="6"/>
      <c r="Q46" s="50">
        <v>0</v>
      </c>
      <c r="R46" s="75" t="s">
        <v>313</v>
      </c>
    </row>
    <row r="47" spans="1:18" ht="55.15" customHeight="1" x14ac:dyDescent="0.25">
      <c r="A47" s="248"/>
      <c r="B47" s="35" t="s">
        <v>58</v>
      </c>
      <c r="C47" s="77" t="s">
        <v>256</v>
      </c>
      <c r="D47" s="2"/>
      <c r="E47" s="6" t="s">
        <v>208</v>
      </c>
      <c r="F47" s="6">
        <v>1</v>
      </c>
      <c r="G47" s="119">
        <v>0.4</v>
      </c>
      <c r="H47" s="6" t="s">
        <v>190</v>
      </c>
      <c r="I47" s="258"/>
      <c r="J47" s="244"/>
      <c r="K47" s="6"/>
      <c r="L47" s="50">
        <v>26</v>
      </c>
      <c r="M47" s="50">
        <v>18</v>
      </c>
      <c r="N47" s="6"/>
      <c r="O47" s="50">
        <v>0</v>
      </c>
      <c r="P47" s="6"/>
      <c r="Q47" s="50">
        <v>0</v>
      </c>
      <c r="R47" s="75" t="s">
        <v>256</v>
      </c>
    </row>
    <row r="48" spans="1:18" ht="69" customHeight="1" thickBot="1" x14ac:dyDescent="0.3">
      <c r="A48" s="249"/>
      <c r="B48" s="63" t="s">
        <v>267</v>
      </c>
      <c r="C48" s="79" t="s">
        <v>266</v>
      </c>
      <c r="D48" s="3"/>
      <c r="E48" s="36" t="s">
        <v>208</v>
      </c>
      <c r="F48" s="36">
        <v>1</v>
      </c>
      <c r="G48" s="101">
        <v>0.09</v>
      </c>
      <c r="H48" s="36" t="s">
        <v>190</v>
      </c>
      <c r="I48" s="258"/>
      <c r="J48" s="244"/>
      <c r="K48" s="36"/>
      <c r="L48" s="57">
        <v>0</v>
      </c>
      <c r="M48" s="57">
        <v>0</v>
      </c>
      <c r="N48" s="36"/>
      <c r="O48" s="57">
        <v>0</v>
      </c>
      <c r="P48" s="36"/>
      <c r="Q48" s="57">
        <v>0</v>
      </c>
      <c r="R48" s="75" t="s">
        <v>266</v>
      </c>
    </row>
    <row r="49" spans="1:23" ht="69" customHeight="1" x14ac:dyDescent="0.25">
      <c r="A49" s="247" t="s">
        <v>231</v>
      </c>
      <c r="B49" s="65" t="s">
        <v>226</v>
      </c>
      <c r="C49" s="82" t="s">
        <v>264</v>
      </c>
      <c r="D49" s="253"/>
      <c r="E49" s="64" t="s">
        <v>189</v>
      </c>
      <c r="F49" s="64">
        <v>1</v>
      </c>
      <c r="G49" s="97">
        <v>77.5</v>
      </c>
      <c r="H49" s="64" t="s">
        <v>190</v>
      </c>
      <c r="I49" s="258"/>
      <c r="J49" s="244"/>
      <c r="K49" s="64"/>
      <c r="L49" s="102">
        <v>0</v>
      </c>
      <c r="M49" s="102">
        <v>0</v>
      </c>
      <c r="N49" s="64"/>
      <c r="O49" s="102">
        <v>0</v>
      </c>
      <c r="P49" s="64"/>
      <c r="Q49" s="102">
        <v>1200</v>
      </c>
      <c r="R49" s="75" t="s">
        <v>264</v>
      </c>
    </row>
    <row r="50" spans="1:23" ht="69" customHeight="1" x14ac:dyDescent="0.25">
      <c r="A50" s="248"/>
      <c r="B50" s="40" t="s">
        <v>227</v>
      </c>
      <c r="C50" s="77" t="s">
        <v>265</v>
      </c>
      <c r="D50" s="251"/>
      <c r="E50" s="6" t="s">
        <v>189</v>
      </c>
      <c r="F50" s="6">
        <v>1</v>
      </c>
      <c r="G50" s="98">
        <v>67.5</v>
      </c>
      <c r="H50" s="6" t="s">
        <v>190</v>
      </c>
      <c r="I50" s="258"/>
      <c r="J50" s="244"/>
      <c r="K50" s="6"/>
      <c r="L50" s="50">
        <v>1450</v>
      </c>
      <c r="M50" s="50">
        <v>0</v>
      </c>
      <c r="N50" s="6"/>
      <c r="O50" s="50">
        <v>0</v>
      </c>
      <c r="P50" s="6"/>
      <c r="Q50" s="50">
        <v>1200</v>
      </c>
      <c r="R50" s="75" t="s">
        <v>265</v>
      </c>
    </row>
    <row r="51" spans="1:23" ht="69" customHeight="1" x14ac:dyDescent="0.25">
      <c r="A51" s="248"/>
      <c r="B51" s="40" t="s">
        <v>228</v>
      </c>
      <c r="C51" s="77" t="s">
        <v>245</v>
      </c>
      <c r="D51" s="2" t="e" vm="1">
        <v>#VALUE!</v>
      </c>
      <c r="E51" s="6" t="s">
        <v>189</v>
      </c>
      <c r="F51" s="6">
        <v>1</v>
      </c>
      <c r="G51" s="98">
        <v>6.4</v>
      </c>
      <c r="H51" s="6" t="s">
        <v>190</v>
      </c>
      <c r="I51" s="258"/>
      <c r="J51" s="244"/>
      <c r="K51" s="6"/>
      <c r="L51" s="50">
        <v>260</v>
      </c>
      <c r="M51" s="50">
        <v>250</v>
      </c>
      <c r="N51" s="6"/>
      <c r="O51" s="50">
        <v>0</v>
      </c>
      <c r="P51" s="6"/>
      <c r="Q51" s="50">
        <v>270</v>
      </c>
      <c r="R51" s="75" t="s">
        <v>245</v>
      </c>
    </row>
    <row r="52" spans="1:23" ht="69" customHeight="1" x14ac:dyDescent="0.25">
      <c r="A52" s="248"/>
      <c r="B52" s="40" t="s">
        <v>229</v>
      </c>
      <c r="C52" s="77" t="s">
        <v>246</v>
      </c>
      <c r="D52" s="2" t="e" vm="2">
        <v>#VALUE!</v>
      </c>
      <c r="E52" s="6" t="s">
        <v>189</v>
      </c>
      <c r="F52" s="6">
        <v>1</v>
      </c>
      <c r="G52" s="98">
        <v>4.0999999999999996</v>
      </c>
      <c r="H52" s="6" t="s">
        <v>190</v>
      </c>
      <c r="I52" s="258"/>
      <c r="J52" s="244"/>
      <c r="K52" s="6"/>
      <c r="L52" s="50">
        <v>140</v>
      </c>
      <c r="M52" s="50">
        <v>100</v>
      </c>
      <c r="N52" s="6"/>
      <c r="O52" s="50">
        <v>0</v>
      </c>
      <c r="P52" s="6"/>
      <c r="Q52" s="50">
        <v>170</v>
      </c>
      <c r="R52" s="75" t="s">
        <v>246</v>
      </c>
    </row>
    <row r="53" spans="1:23" ht="69" customHeight="1" thickBot="1" x14ac:dyDescent="0.3">
      <c r="A53" s="249"/>
      <c r="B53" s="66" t="s">
        <v>230</v>
      </c>
      <c r="C53" s="83" t="s">
        <v>263</v>
      </c>
      <c r="D53" s="5" t="e" vm="3">
        <v>#VALUE!</v>
      </c>
      <c r="E53" s="52" t="s">
        <v>189</v>
      </c>
      <c r="F53" s="52">
        <v>1</v>
      </c>
      <c r="G53" s="99">
        <v>7.8</v>
      </c>
      <c r="H53" s="52" t="s">
        <v>190</v>
      </c>
      <c r="I53" s="258"/>
      <c r="J53" s="244"/>
      <c r="K53" s="52"/>
      <c r="L53" s="103">
        <v>0</v>
      </c>
      <c r="M53" s="103">
        <v>200</v>
      </c>
      <c r="N53" s="52"/>
      <c r="O53" s="103">
        <v>0</v>
      </c>
      <c r="P53" s="52"/>
      <c r="Q53" s="103">
        <v>0</v>
      </c>
      <c r="R53" s="75" t="s">
        <v>263</v>
      </c>
    </row>
    <row r="54" spans="1:23" ht="91.15" customHeight="1" x14ac:dyDescent="0.25">
      <c r="A54" s="247" t="s">
        <v>209</v>
      </c>
      <c r="B54" s="69" t="s">
        <v>215</v>
      </c>
      <c r="C54" s="80" t="s">
        <v>259</v>
      </c>
      <c r="E54" s="7" t="s">
        <v>189</v>
      </c>
      <c r="F54" s="7">
        <v>1</v>
      </c>
      <c r="G54" s="100">
        <v>0</v>
      </c>
      <c r="H54" s="7" t="s">
        <v>190</v>
      </c>
      <c r="I54" s="258"/>
      <c r="J54" s="244"/>
      <c r="K54" s="7"/>
      <c r="L54" s="104">
        <v>0</v>
      </c>
      <c r="M54" s="104">
        <v>0</v>
      </c>
      <c r="N54" s="7"/>
      <c r="O54" s="104">
        <v>0</v>
      </c>
      <c r="P54" s="7"/>
      <c r="Q54" s="104">
        <v>50</v>
      </c>
      <c r="R54" s="75" t="s">
        <v>259</v>
      </c>
    </row>
    <row r="55" spans="1:23" ht="71.45" customHeight="1" x14ac:dyDescent="0.25">
      <c r="A55" s="248"/>
      <c r="B55" s="35" t="s">
        <v>216</v>
      </c>
      <c r="C55" s="77" t="s">
        <v>262</v>
      </c>
      <c r="D55" s="2"/>
      <c r="E55" s="6" t="s">
        <v>189</v>
      </c>
      <c r="F55" s="6">
        <v>1</v>
      </c>
      <c r="G55" s="98">
        <v>1.6</v>
      </c>
      <c r="H55" s="6" t="s">
        <v>190</v>
      </c>
      <c r="I55" s="258"/>
      <c r="J55" s="244"/>
      <c r="K55" s="6"/>
      <c r="L55" s="105">
        <v>0</v>
      </c>
      <c r="M55" s="105">
        <v>0</v>
      </c>
      <c r="N55" s="6"/>
      <c r="O55" s="105"/>
      <c r="P55" s="6"/>
      <c r="Q55" s="105">
        <v>50</v>
      </c>
      <c r="R55" s="75" t="s">
        <v>262</v>
      </c>
    </row>
    <row r="56" spans="1:23" ht="71.45" customHeight="1" x14ac:dyDescent="0.25">
      <c r="A56" s="248"/>
      <c r="B56" s="35" t="s">
        <v>217</v>
      </c>
      <c r="C56" s="84" t="s">
        <v>217</v>
      </c>
      <c r="D56" s="2"/>
      <c r="E56" s="6" t="s">
        <v>189</v>
      </c>
      <c r="F56" s="6">
        <v>1</v>
      </c>
      <c r="G56" s="98">
        <v>0</v>
      </c>
      <c r="H56" s="6" t="s">
        <v>190</v>
      </c>
      <c r="I56" s="258"/>
      <c r="J56" s="244"/>
      <c r="K56" s="6"/>
      <c r="L56" s="105">
        <v>0</v>
      </c>
      <c r="M56" s="105">
        <v>0</v>
      </c>
      <c r="N56" s="6"/>
      <c r="O56" s="105">
        <v>0</v>
      </c>
      <c r="P56" s="6"/>
      <c r="Q56" s="105">
        <v>0</v>
      </c>
      <c r="R56" s="124" t="s">
        <v>217</v>
      </c>
    </row>
    <row r="57" spans="1:23" ht="71.45" customHeight="1" x14ac:dyDescent="0.25">
      <c r="A57" s="248"/>
      <c r="B57" s="35" t="s">
        <v>62</v>
      </c>
      <c r="C57" s="84" t="s">
        <v>62</v>
      </c>
      <c r="E57" s="6" t="s">
        <v>189</v>
      </c>
      <c r="F57" s="6">
        <v>1</v>
      </c>
      <c r="G57" s="98">
        <v>0</v>
      </c>
      <c r="H57" s="6" t="s">
        <v>190</v>
      </c>
      <c r="I57" s="258"/>
      <c r="J57" s="244"/>
      <c r="K57" s="6"/>
      <c r="L57" s="105">
        <v>0</v>
      </c>
      <c r="M57" s="105">
        <v>0</v>
      </c>
      <c r="N57" s="6"/>
      <c r="O57" s="105">
        <v>0</v>
      </c>
      <c r="P57" s="6"/>
      <c r="Q57" s="105">
        <v>0</v>
      </c>
      <c r="R57" s="124" t="s">
        <v>62</v>
      </c>
    </row>
    <row r="58" spans="1:23" ht="95.45" customHeight="1" x14ac:dyDescent="0.25">
      <c r="A58" s="248"/>
      <c r="B58" s="35" t="s">
        <v>218</v>
      </c>
      <c r="C58" s="77" t="s">
        <v>251</v>
      </c>
      <c r="D58" s="2"/>
      <c r="E58" s="6" t="s">
        <v>189</v>
      </c>
      <c r="F58" s="6">
        <v>1</v>
      </c>
      <c r="G58" s="98">
        <v>53</v>
      </c>
      <c r="H58" s="6" t="s">
        <v>190</v>
      </c>
      <c r="I58" s="258"/>
      <c r="J58" s="244"/>
      <c r="K58" s="6"/>
      <c r="L58" s="105">
        <v>0</v>
      </c>
      <c r="M58" s="105">
        <v>0</v>
      </c>
      <c r="N58" s="6"/>
      <c r="O58" s="105">
        <v>1200</v>
      </c>
      <c r="P58" s="6"/>
      <c r="Q58" s="105">
        <v>1200</v>
      </c>
      <c r="R58" s="75" t="s">
        <v>251</v>
      </c>
    </row>
    <row r="59" spans="1:23" ht="73.900000000000006" customHeight="1" x14ac:dyDescent="0.25">
      <c r="A59" s="248"/>
      <c r="B59" s="35" t="s">
        <v>219</v>
      </c>
      <c r="C59" s="77" t="s">
        <v>257</v>
      </c>
      <c r="D59" s="250"/>
      <c r="E59" s="6" t="s">
        <v>189</v>
      </c>
      <c r="F59" s="6">
        <v>1</v>
      </c>
      <c r="G59" s="98">
        <v>60</v>
      </c>
      <c r="H59" s="6" t="s">
        <v>190</v>
      </c>
      <c r="I59" s="258"/>
      <c r="J59" s="244"/>
      <c r="K59" s="6"/>
      <c r="L59" s="105">
        <v>0</v>
      </c>
      <c r="M59" s="105">
        <v>0</v>
      </c>
      <c r="N59" s="6"/>
      <c r="O59" s="105">
        <v>600</v>
      </c>
      <c r="P59" s="6"/>
      <c r="Q59" s="105">
        <v>600</v>
      </c>
    </row>
    <row r="60" spans="1:23" ht="73.900000000000006" customHeight="1" x14ac:dyDescent="0.25">
      <c r="A60" s="248"/>
      <c r="B60" s="35" t="s">
        <v>220</v>
      </c>
      <c r="C60" s="77" t="s">
        <v>258</v>
      </c>
      <c r="D60" s="251"/>
      <c r="E60" s="6" t="s">
        <v>189</v>
      </c>
      <c r="F60" s="6">
        <v>1</v>
      </c>
      <c r="G60" s="98">
        <v>36</v>
      </c>
      <c r="H60" s="6" t="s">
        <v>298</v>
      </c>
      <c r="I60" s="258"/>
      <c r="J60" s="244"/>
      <c r="K60" s="6"/>
      <c r="L60" s="105">
        <v>0</v>
      </c>
      <c r="M60" s="105">
        <v>0</v>
      </c>
      <c r="N60" s="6"/>
      <c r="O60" s="105">
        <v>1400</v>
      </c>
      <c r="P60" s="6"/>
      <c r="Q60" s="105">
        <v>1300</v>
      </c>
      <c r="R60" s="75" t="s">
        <v>257</v>
      </c>
      <c r="S60" s="6"/>
      <c r="T60" s="105">
        <v>1000</v>
      </c>
      <c r="U60" s="6"/>
      <c r="V60" s="105">
        <v>0</v>
      </c>
      <c r="W60" s="75" t="s">
        <v>258</v>
      </c>
    </row>
    <row r="61" spans="1:23" ht="76.150000000000006" customHeight="1" x14ac:dyDescent="0.25">
      <c r="A61" s="248"/>
      <c r="B61" s="35" t="s">
        <v>224</v>
      </c>
      <c r="C61" s="77" t="s">
        <v>250</v>
      </c>
      <c r="D61" s="250"/>
      <c r="E61" s="6" t="s">
        <v>189</v>
      </c>
      <c r="F61" s="6">
        <v>1</v>
      </c>
      <c r="G61" s="98">
        <v>60</v>
      </c>
      <c r="H61" s="6" t="s">
        <v>190</v>
      </c>
      <c r="I61" s="258"/>
      <c r="J61" s="244"/>
      <c r="K61" s="6"/>
      <c r="L61" s="105">
        <v>2280</v>
      </c>
      <c r="M61" s="105">
        <v>1300</v>
      </c>
      <c r="N61" s="6"/>
      <c r="O61" s="105">
        <v>1300</v>
      </c>
      <c r="P61" s="6"/>
      <c r="Q61" s="105">
        <v>1200</v>
      </c>
      <c r="R61" s="75" t="s">
        <v>250</v>
      </c>
    </row>
    <row r="62" spans="1:23" ht="76.150000000000006" customHeight="1" thickBot="1" x14ac:dyDescent="0.3">
      <c r="A62" s="249"/>
      <c r="B62" s="63" t="s">
        <v>225</v>
      </c>
      <c r="C62" s="79" t="s">
        <v>249</v>
      </c>
      <c r="D62" s="252"/>
      <c r="E62" s="36" t="s">
        <v>189</v>
      </c>
      <c r="F62" s="36">
        <v>1</v>
      </c>
      <c r="G62" s="101">
        <v>56.5</v>
      </c>
      <c r="H62" s="36" t="s">
        <v>190</v>
      </c>
      <c r="I62" s="258"/>
      <c r="J62" s="244"/>
      <c r="K62" s="36"/>
      <c r="L62" s="106">
        <v>1300</v>
      </c>
      <c r="M62" s="106">
        <v>0</v>
      </c>
      <c r="N62" s="36"/>
      <c r="O62" s="106">
        <v>1300</v>
      </c>
      <c r="P62" s="36"/>
      <c r="Q62" s="106">
        <v>1200</v>
      </c>
      <c r="R62" s="75" t="s">
        <v>249</v>
      </c>
    </row>
    <row r="63" spans="1:23" ht="72" customHeight="1" x14ac:dyDescent="0.25">
      <c r="A63" s="247" t="s">
        <v>233</v>
      </c>
      <c r="B63" s="37" t="s">
        <v>307</v>
      </c>
      <c r="C63" s="76" t="s">
        <v>309</v>
      </c>
      <c r="D63" s="253" t="e" vm="4">
        <v>#VALUE!</v>
      </c>
      <c r="E63" s="38" t="s">
        <v>189</v>
      </c>
      <c r="F63" s="38">
        <v>1</v>
      </c>
      <c r="G63" s="97">
        <v>600</v>
      </c>
      <c r="H63" s="38" t="s">
        <v>190</v>
      </c>
      <c r="I63" s="258"/>
      <c r="J63" s="244"/>
      <c r="K63" s="38"/>
      <c r="L63" s="49">
        <v>10500</v>
      </c>
      <c r="M63" s="49">
        <v>12000</v>
      </c>
      <c r="N63" s="38"/>
      <c r="O63" s="49">
        <v>10500</v>
      </c>
      <c r="P63" s="38"/>
      <c r="Q63" s="49">
        <v>10000</v>
      </c>
      <c r="R63" s="75" t="s">
        <v>309</v>
      </c>
    </row>
    <row r="64" spans="1:23" ht="72" customHeight="1" x14ac:dyDescent="0.25">
      <c r="A64" s="248"/>
      <c r="B64" s="40" t="s">
        <v>308</v>
      </c>
      <c r="C64" s="77" t="s">
        <v>252</v>
      </c>
      <c r="D64" s="251"/>
      <c r="E64" s="6" t="s">
        <v>189</v>
      </c>
      <c r="F64" s="6">
        <v>1</v>
      </c>
      <c r="G64" s="98">
        <v>375</v>
      </c>
      <c r="H64" s="6" t="s">
        <v>190</v>
      </c>
      <c r="I64" s="258"/>
      <c r="J64" s="244"/>
      <c r="K64" s="6"/>
      <c r="L64" s="50">
        <v>6500</v>
      </c>
      <c r="M64" s="50">
        <v>5300</v>
      </c>
      <c r="N64" s="6"/>
      <c r="O64" s="50">
        <v>5000</v>
      </c>
      <c r="P64" s="6"/>
      <c r="Q64" s="50">
        <v>5000</v>
      </c>
      <c r="R64" s="75" t="s">
        <v>252</v>
      </c>
    </row>
    <row r="65" spans="1:18" ht="73.900000000000006" customHeight="1" thickBot="1" x14ac:dyDescent="0.3">
      <c r="A65" s="249"/>
      <c r="B65" s="68" t="s">
        <v>232</v>
      </c>
      <c r="C65" s="78" t="s">
        <v>253</v>
      </c>
      <c r="D65" s="5"/>
      <c r="E65" s="67" t="s">
        <v>189</v>
      </c>
      <c r="F65" s="44">
        <v>1</v>
      </c>
      <c r="G65" s="99">
        <v>75</v>
      </c>
      <c r="H65" s="44" t="s">
        <v>306</v>
      </c>
      <c r="I65" s="259"/>
      <c r="J65" s="245"/>
      <c r="K65" s="44"/>
      <c r="L65" s="107">
        <v>0</v>
      </c>
      <c r="M65" s="107">
        <v>1700</v>
      </c>
      <c r="N65" s="44"/>
      <c r="O65" s="107">
        <v>0</v>
      </c>
      <c r="P65" s="44"/>
      <c r="Q65" s="107">
        <v>2500</v>
      </c>
      <c r="R65" s="75" t="s">
        <v>253</v>
      </c>
    </row>
    <row r="66" spans="1:18" ht="15" x14ac:dyDescent="0.25">
      <c r="C66" t="s">
        <v>358</v>
      </c>
      <c r="D66" s="24"/>
      <c r="F66" s="143"/>
      <c r="G66" s="143"/>
      <c r="H66"/>
      <c r="I66"/>
      <c r="J66"/>
      <c r="K66"/>
      <c r="L66"/>
      <c r="M66"/>
    </row>
    <row r="67" spans="1:18" ht="15" x14ac:dyDescent="0.25">
      <c r="C67" t="s">
        <v>354</v>
      </c>
      <c r="D67" s="24"/>
      <c r="F67" s="143"/>
      <c r="G67" s="143"/>
      <c r="H67"/>
      <c r="I67"/>
      <c r="J67"/>
      <c r="K67"/>
      <c r="L67"/>
      <c r="M67"/>
    </row>
    <row r="68" spans="1:18" ht="15" x14ac:dyDescent="0.25">
      <c r="C68" t="s">
        <v>360</v>
      </c>
      <c r="D68" s="24"/>
      <c r="F68" s="144"/>
      <c r="G68" s="143"/>
      <c r="H68"/>
      <c r="I68"/>
      <c r="J68"/>
      <c r="K68"/>
      <c r="L68"/>
      <c r="M68"/>
    </row>
    <row r="69" spans="1:18" ht="15" x14ac:dyDescent="0.25">
      <c r="C69" t="s">
        <v>355</v>
      </c>
      <c r="D69" s="24"/>
      <c r="F69" s="143"/>
      <c r="G69" s="143"/>
      <c r="H69"/>
      <c r="I69"/>
      <c r="J69"/>
      <c r="K69"/>
      <c r="L69"/>
      <c r="M69"/>
    </row>
    <row r="70" spans="1:18" ht="15" x14ac:dyDescent="0.25">
      <c r="C70" t="s">
        <v>356</v>
      </c>
      <c r="D70" s="24"/>
      <c r="F70" s="143"/>
      <c r="G70" s="143"/>
      <c r="H70"/>
      <c r="I70"/>
      <c r="J70"/>
      <c r="K70"/>
      <c r="L70"/>
      <c r="M70"/>
    </row>
    <row r="71" spans="1:18" ht="15" x14ac:dyDescent="0.25">
      <c r="C71" t="s">
        <v>357</v>
      </c>
      <c r="D71" s="24"/>
      <c r="F71" s="143"/>
      <c r="G71" s="143"/>
      <c r="H71"/>
      <c r="I71"/>
      <c r="J71"/>
      <c r="K71"/>
      <c r="L71"/>
      <c r="M71"/>
    </row>
    <row r="72" spans="1:18" ht="15" x14ac:dyDescent="0.25">
      <c r="C72" t="s">
        <v>361</v>
      </c>
      <c r="D72" s="24"/>
      <c r="F72" s="143"/>
      <c r="G72" s="143"/>
      <c r="H72"/>
      <c r="I72"/>
      <c r="J72"/>
      <c r="K72"/>
      <c r="L72"/>
      <c r="M72"/>
    </row>
    <row r="73" spans="1:18" ht="15" x14ac:dyDescent="0.25">
      <c r="C73"/>
      <c r="D73" s="24"/>
      <c r="F73" s="143"/>
      <c r="G73" s="143"/>
      <c r="H73"/>
      <c r="I73"/>
      <c r="J73"/>
      <c r="K73"/>
      <c r="L73"/>
      <c r="M73"/>
    </row>
    <row r="74" spans="1:18" ht="15" x14ac:dyDescent="0.25">
      <c r="C74"/>
      <c r="D74" s="24"/>
      <c r="F74" s="143"/>
      <c r="G74" s="143"/>
      <c r="H74"/>
      <c r="I74"/>
      <c r="J74"/>
      <c r="K74"/>
      <c r="L74"/>
      <c r="M74"/>
    </row>
    <row r="152" spans="2:18" thickBot="1" x14ac:dyDescent="0.3">
      <c r="B152"/>
      <c r="C152" s="10"/>
      <c r="D152" s="10"/>
      <c r="E152" s="10"/>
      <c r="F152" s="10"/>
      <c r="G152" s="10"/>
      <c r="H152" s="10"/>
      <c r="I152"/>
      <c r="J152"/>
      <c r="K152"/>
      <c r="L152"/>
      <c r="M152"/>
    </row>
    <row r="153" spans="2:18" ht="27" customHeight="1" thickBot="1" x14ac:dyDescent="0.3">
      <c r="B153" s="9" t="s">
        <v>33</v>
      </c>
      <c r="C153" s="10"/>
      <c r="D153" s="10"/>
      <c r="E153" s="10"/>
      <c r="F153" s="10"/>
      <c r="G153" s="10"/>
      <c r="H153" s="10"/>
      <c r="I153"/>
      <c r="J153" s="9" t="s">
        <v>34</v>
      </c>
      <c r="K153"/>
      <c r="L153"/>
      <c r="M153"/>
    </row>
    <row r="154" spans="2:18" ht="18.75" x14ac:dyDescent="0.3">
      <c r="B154" s="12"/>
      <c r="C154" s="17" t="s">
        <v>86</v>
      </c>
      <c r="D154" s="17" t="s">
        <v>87</v>
      </c>
      <c r="E154" s="17" t="s">
        <v>86</v>
      </c>
      <c r="F154" s="17" t="s">
        <v>87</v>
      </c>
      <c r="G154" s="28"/>
      <c r="H154" s="28"/>
      <c r="I154" s="12"/>
      <c r="J154" s="12"/>
      <c r="K154" s="17" t="s">
        <v>86</v>
      </c>
      <c r="L154" s="17" t="s">
        <v>87</v>
      </c>
      <c r="M154" s="17" t="s">
        <v>86</v>
      </c>
      <c r="N154" s="17" t="s">
        <v>87</v>
      </c>
      <c r="O154" s="17" t="s">
        <v>86</v>
      </c>
      <c r="P154" s="17" t="s">
        <v>87</v>
      </c>
      <c r="Q154" s="17" t="s">
        <v>86</v>
      </c>
      <c r="R154" s="17" t="s">
        <v>87</v>
      </c>
    </row>
    <row r="155" spans="2:18" ht="18.75" x14ac:dyDescent="0.3">
      <c r="B155" s="13" t="s">
        <v>24</v>
      </c>
      <c r="C155" s="14" t="s">
        <v>99</v>
      </c>
      <c r="D155" s="14" t="s">
        <v>128</v>
      </c>
      <c r="E155" s="14" t="s">
        <v>176</v>
      </c>
      <c r="F155" s="32">
        <v>15500</v>
      </c>
      <c r="G155" s="15"/>
      <c r="H155" s="15"/>
      <c r="I155" s="12"/>
      <c r="J155" s="13" t="s">
        <v>35</v>
      </c>
      <c r="K155" s="13"/>
      <c r="L155" s="13"/>
      <c r="M155" s="13"/>
      <c r="N155" s="13"/>
      <c r="O155" s="13"/>
      <c r="P155" s="13"/>
      <c r="Q155" s="13"/>
      <c r="R155" s="13"/>
    </row>
    <row r="156" spans="2:18" ht="18.75" x14ac:dyDescent="0.3">
      <c r="B156" s="13" t="s">
        <v>0</v>
      </c>
      <c r="C156" s="14" t="s">
        <v>102</v>
      </c>
      <c r="D156" s="14" t="s">
        <v>103</v>
      </c>
      <c r="E156" s="226" t="s">
        <v>176</v>
      </c>
      <c r="F156" s="224">
        <v>7800</v>
      </c>
      <c r="G156" s="29"/>
      <c r="H156" s="29"/>
      <c r="I156" s="12"/>
      <c r="J156" s="13" t="s">
        <v>37</v>
      </c>
      <c r="K156" s="13" t="s">
        <v>99</v>
      </c>
      <c r="L156" s="13" t="s">
        <v>141</v>
      </c>
      <c r="M156" s="13"/>
      <c r="N156" s="13"/>
      <c r="O156" s="13"/>
      <c r="P156" s="13"/>
      <c r="Q156" s="13"/>
      <c r="R156" s="13"/>
    </row>
    <row r="157" spans="2:18" ht="18.75" x14ac:dyDescent="0.3">
      <c r="B157" s="13" t="s">
        <v>1</v>
      </c>
      <c r="C157" s="14" t="s">
        <v>99</v>
      </c>
      <c r="D157" s="14" t="s">
        <v>104</v>
      </c>
      <c r="E157" s="227"/>
      <c r="F157" s="225"/>
      <c r="G157" s="29"/>
      <c r="H157" s="29"/>
      <c r="I157" s="12"/>
      <c r="J157" s="13" t="s">
        <v>38</v>
      </c>
      <c r="K157" s="13" t="s">
        <v>99</v>
      </c>
      <c r="L157" s="13" t="s">
        <v>140</v>
      </c>
      <c r="M157" s="13"/>
      <c r="N157" s="13"/>
      <c r="O157" s="13"/>
      <c r="P157" s="13"/>
      <c r="Q157" s="13"/>
      <c r="R157" s="13"/>
    </row>
    <row r="158" spans="2:18" ht="18.75" x14ac:dyDescent="0.3">
      <c r="B158" s="13"/>
      <c r="C158" s="14"/>
      <c r="D158" s="14"/>
      <c r="E158" s="14"/>
      <c r="F158" s="32"/>
      <c r="G158" s="15"/>
      <c r="H158" s="15"/>
      <c r="I158" s="12"/>
      <c r="J158" s="13" t="s">
        <v>36</v>
      </c>
      <c r="K158" s="13" t="s">
        <v>99</v>
      </c>
      <c r="L158" s="13" t="s">
        <v>148</v>
      </c>
      <c r="M158" s="13"/>
      <c r="N158" s="13"/>
      <c r="O158" s="13"/>
      <c r="P158" s="13"/>
      <c r="Q158" s="13"/>
      <c r="R158" s="13"/>
    </row>
    <row r="159" spans="2:18" ht="18.75" x14ac:dyDescent="0.3">
      <c r="B159" s="13" t="s">
        <v>24</v>
      </c>
      <c r="C159" s="14" t="s">
        <v>145</v>
      </c>
      <c r="D159" s="14" t="s">
        <v>146</v>
      </c>
      <c r="E159" s="14"/>
      <c r="F159" s="32"/>
      <c r="G159" s="15"/>
      <c r="H159" s="15"/>
      <c r="I159" s="12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2:18" ht="18.75" x14ac:dyDescent="0.3">
      <c r="B160" s="13" t="s">
        <v>0</v>
      </c>
      <c r="C160" s="14" t="s">
        <v>145</v>
      </c>
      <c r="D160" s="14" t="s">
        <v>103</v>
      </c>
      <c r="E160" s="14"/>
      <c r="F160" s="32"/>
      <c r="G160" s="15"/>
      <c r="H160" s="15"/>
      <c r="I160" s="12"/>
      <c r="J160" s="13" t="s">
        <v>39</v>
      </c>
      <c r="K160" s="13"/>
      <c r="L160" s="13"/>
      <c r="M160" s="13"/>
      <c r="N160" s="13"/>
      <c r="O160" s="13"/>
      <c r="P160" s="13"/>
      <c r="Q160" s="13"/>
      <c r="R160" s="13"/>
    </row>
    <row r="161" spans="2:18" ht="18.75" x14ac:dyDescent="0.3">
      <c r="B161" s="13" t="s">
        <v>1</v>
      </c>
      <c r="C161" s="14" t="s">
        <v>145</v>
      </c>
      <c r="D161" s="14" t="s">
        <v>104</v>
      </c>
      <c r="E161" s="14"/>
      <c r="F161" s="32"/>
      <c r="G161" s="15"/>
      <c r="H161" s="15"/>
      <c r="I161" s="12"/>
      <c r="J161" s="13" t="s">
        <v>37</v>
      </c>
      <c r="K161" s="13"/>
      <c r="L161" s="13"/>
      <c r="M161" s="14" t="s">
        <v>176</v>
      </c>
      <c r="N161" s="13">
        <v>5500</v>
      </c>
      <c r="O161" s="2"/>
      <c r="P161" s="2"/>
      <c r="Q161" s="229" t="s">
        <v>179</v>
      </c>
      <c r="R161" s="13">
        <v>4700</v>
      </c>
    </row>
    <row r="162" spans="2:18" ht="18.75" x14ac:dyDescent="0.3">
      <c r="B162" s="13" t="s">
        <v>0</v>
      </c>
      <c r="C162" s="14" t="s">
        <v>152</v>
      </c>
      <c r="D162" s="226" t="s">
        <v>153</v>
      </c>
      <c r="E162" s="14"/>
      <c r="F162" s="21"/>
      <c r="G162" s="30"/>
      <c r="H162" s="30"/>
      <c r="I162" s="12"/>
      <c r="J162" s="13" t="s">
        <v>38</v>
      </c>
      <c r="K162" s="13"/>
      <c r="L162" s="13"/>
      <c r="M162"/>
      <c r="N162" s="13"/>
      <c r="O162" s="14" t="s">
        <v>178</v>
      </c>
      <c r="P162" s="13">
        <v>3350</v>
      </c>
      <c r="Q162" s="230"/>
      <c r="R162" s="13">
        <v>2900</v>
      </c>
    </row>
    <row r="163" spans="2:18" ht="18.75" x14ac:dyDescent="0.3">
      <c r="B163" s="13" t="s">
        <v>1</v>
      </c>
      <c r="C163" s="14" t="s">
        <v>152</v>
      </c>
      <c r="D163" s="227"/>
      <c r="E163" s="14"/>
      <c r="F163" s="22"/>
      <c r="G163" s="30"/>
      <c r="H163" s="30"/>
      <c r="I163" s="12"/>
      <c r="J163" s="13" t="s">
        <v>36</v>
      </c>
      <c r="K163" s="13"/>
      <c r="L163" s="13"/>
      <c r="M163" s="13" t="s">
        <v>176</v>
      </c>
      <c r="N163" s="13">
        <v>8500</v>
      </c>
      <c r="O163" s="13" t="s">
        <v>176</v>
      </c>
      <c r="P163" s="13">
        <v>7800</v>
      </c>
      <c r="Q163" s="231"/>
      <c r="R163" s="13">
        <v>7800</v>
      </c>
    </row>
    <row r="164" spans="2:18" ht="18.75" x14ac:dyDescent="0.3">
      <c r="B164" s="13"/>
      <c r="C164" s="14"/>
      <c r="D164" s="14"/>
      <c r="E164" s="14"/>
      <c r="F164" s="32"/>
      <c r="G164" s="15"/>
      <c r="H164" s="15"/>
      <c r="I164" s="12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2:18" ht="18.75" x14ac:dyDescent="0.3">
      <c r="B165" s="13" t="s">
        <v>25</v>
      </c>
      <c r="C165" s="14"/>
      <c r="D165" s="14" t="s">
        <v>147</v>
      </c>
      <c r="E165" s="14"/>
      <c r="F165" s="32"/>
      <c r="G165" s="15"/>
      <c r="H165" s="15"/>
      <c r="I165" s="12"/>
      <c r="J165" s="13" t="s">
        <v>40</v>
      </c>
      <c r="K165" s="13"/>
      <c r="L165" s="13"/>
      <c r="M165" s="13"/>
      <c r="N165" s="13"/>
      <c r="O165" s="13"/>
      <c r="P165" s="13"/>
      <c r="Q165" s="13"/>
      <c r="R165" s="13"/>
    </row>
    <row r="166" spans="2:18" ht="18.75" x14ac:dyDescent="0.3">
      <c r="B166" s="13" t="s">
        <v>0</v>
      </c>
      <c r="C166" s="14"/>
      <c r="D166" s="14"/>
      <c r="E166" s="14"/>
      <c r="F166" s="32"/>
      <c r="G166" s="15"/>
      <c r="H166" s="15"/>
      <c r="I166" s="12"/>
      <c r="J166" s="13" t="s">
        <v>37</v>
      </c>
      <c r="K166" s="13" t="s">
        <v>99</v>
      </c>
      <c r="L166" s="13" t="s">
        <v>139</v>
      </c>
      <c r="M166" s="13"/>
      <c r="N166" s="13"/>
      <c r="O166" s="13"/>
      <c r="P166" s="13"/>
      <c r="Q166" s="13"/>
      <c r="R166" s="13"/>
    </row>
    <row r="167" spans="2:18" ht="18.75" x14ac:dyDescent="0.3">
      <c r="B167" s="13" t="s">
        <v>1</v>
      </c>
      <c r="C167" s="14"/>
      <c r="D167" s="14"/>
      <c r="E167" s="14"/>
      <c r="F167" s="32"/>
      <c r="G167" s="15"/>
      <c r="H167" s="15"/>
      <c r="I167" s="12"/>
      <c r="J167" s="13" t="s">
        <v>38</v>
      </c>
      <c r="K167" s="13" t="s">
        <v>99</v>
      </c>
      <c r="L167" s="13" t="s">
        <v>100</v>
      </c>
      <c r="M167" s="13"/>
      <c r="N167" s="13"/>
      <c r="O167" s="13"/>
      <c r="P167" s="13"/>
      <c r="Q167" s="13"/>
      <c r="R167" s="13"/>
    </row>
    <row r="168" spans="2:18" ht="18.75" x14ac:dyDescent="0.3">
      <c r="B168" s="13"/>
      <c r="C168" s="14"/>
      <c r="D168" s="14"/>
      <c r="E168" s="14"/>
      <c r="F168" s="32"/>
      <c r="G168" s="15"/>
      <c r="H168" s="15"/>
      <c r="I168" s="12"/>
      <c r="J168" s="13" t="s">
        <v>133</v>
      </c>
      <c r="K168" s="13" t="s">
        <v>99</v>
      </c>
      <c r="L168" s="13" t="s">
        <v>132</v>
      </c>
      <c r="M168" s="13"/>
      <c r="N168" s="13"/>
      <c r="O168" s="13"/>
      <c r="P168" s="13"/>
      <c r="Q168" s="13"/>
      <c r="R168" s="13"/>
    </row>
    <row r="169" spans="2:18" ht="18.75" x14ac:dyDescent="0.3">
      <c r="B169" s="13"/>
      <c r="C169" s="14"/>
      <c r="D169" s="14"/>
      <c r="E169" s="14"/>
      <c r="F169" s="32"/>
      <c r="G169" s="15"/>
      <c r="H169" s="15"/>
      <c r="I169" s="12"/>
      <c r="J169" s="13" t="s">
        <v>175</v>
      </c>
      <c r="K169" s="12" t="s">
        <v>172</v>
      </c>
      <c r="L169" s="13">
        <v>11200</v>
      </c>
      <c r="M169" s="12"/>
      <c r="N169" s="13"/>
      <c r="O169" s="12"/>
      <c r="P169" s="13"/>
      <c r="Q169" s="12"/>
      <c r="R169" s="13"/>
    </row>
    <row r="170" spans="2:18" ht="18.75" x14ac:dyDescent="0.3">
      <c r="B170" s="13" t="s">
        <v>2</v>
      </c>
      <c r="C170" s="14" t="s">
        <v>99</v>
      </c>
      <c r="D170" s="14" t="s">
        <v>127</v>
      </c>
      <c r="E170" s="14" t="s">
        <v>176</v>
      </c>
      <c r="F170" s="32">
        <v>700</v>
      </c>
      <c r="G170" s="15"/>
      <c r="H170" s="15"/>
      <c r="I170" s="12"/>
      <c r="J170" s="12"/>
      <c r="K170" s="12"/>
      <c r="L170" s="12"/>
      <c r="M170" s="12"/>
      <c r="N170" s="12"/>
    </row>
    <row r="171" spans="2:18" ht="17.45" customHeight="1" x14ac:dyDescent="0.3">
      <c r="B171" s="13"/>
      <c r="C171" s="14"/>
      <c r="D171" s="14"/>
      <c r="E171" s="14"/>
      <c r="F171" s="32"/>
      <c r="G171" s="15"/>
      <c r="H171" s="15"/>
      <c r="I171" s="12"/>
      <c r="J171" s="16" t="s">
        <v>97</v>
      </c>
      <c r="K171" s="16"/>
      <c r="L171" s="16"/>
      <c r="M171" s="16"/>
      <c r="N171" s="16"/>
    </row>
    <row r="172" spans="2:18" ht="18.75" x14ac:dyDescent="0.3">
      <c r="B172" s="13" t="s">
        <v>3</v>
      </c>
      <c r="C172" s="14"/>
      <c r="D172" s="14"/>
      <c r="E172" s="14"/>
      <c r="F172" s="32"/>
      <c r="G172" s="15"/>
      <c r="H172" s="15"/>
      <c r="I172" s="12"/>
      <c r="J172" s="12"/>
      <c r="K172" s="12"/>
      <c r="L172" s="12"/>
      <c r="M172"/>
    </row>
    <row r="173" spans="2:18" ht="19.5" thickBot="1" x14ac:dyDescent="0.35">
      <c r="B173" s="13" t="s">
        <v>4</v>
      </c>
      <c r="C173" s="14"/>
      <c r="D173" s="14"/>
      <c r="E173" s="14"/>
      <c r="F173" s="32"/>
      <c r="G173" s="15"/>
      <c r="H173" s="15"/>
      <c r="I173"/>
      <c r="J173"/>
      <c r="K173"/>
      <c r="L173"/>
      <c r="M173"/>
    </row>
    <row r="174" spans="2:18" ht="21.6" customHeight="1" thickBot="1" x14ac:dyDescent="0.35">
      <c r="B174" s="13" t="s">
        <v>5</v>
      </c>
      <c r="C174" s="14"/>
      <c r="D174" s="14"/>
      <c r="E174" s="14"/>
      <c r="F174" s="32"/>
      <c r="G174" s="15"/>
      <c r="H174" s="15"/>
      <c r="I174"/>
      <c r="J174" s="9" t="s">
        <v>41</v>
      </c>
      <c r="K174"/>
      <c r="L174"/>
      <c r="M174"/>
    </row>
    <row r="175" spans="2:18" ht="18.75" x14ac:dyDescent="0.3">
      <c r="B175" s="13" t="s">
        <v>6</v>
      </c>
      <c r="C175" s="14"/>
      <c r="D175" s="14"/>
      <c r="E175" s="14"/>
      <c r="F175" s="32"/>
      <c r="G175" s="15"/>
      <c r="H175" s="15"/>
      <c r="I175"/>
      <c r="J175"/>
      <c r="K175" s="17" t="s">
        <v>86</v>
      </c>
      <c r="L175" s="17" t="s">
        <v>87</v>
      </c>
      <c r="M175" s="17" t="s">
        <v>86</v>
      </c>
      <c r="N175" s="17" t="s">
        <v>87</v>
      </c>
    </row>
    <row r="176" spans="2:18" ht="18.75" x14ac:dyDescent="0.3">
      <c r="B176" s="13" t="s">
        <v>115</v>
      </c>
      <c r="C176" s="14" t="s">
        <v>99</v>
      </c>
      <c r="D176" s="14" t="s">
        <v>118</v>
      </c>
      <c r="E176" s="14"/>
      <c r="F176" s="32"/>
      <c r="G176" s="15"/>
      <c r="H176" s="15"/>
      <c r="I176" s="12"/>
      <c r="J176" s="13" t="s">
        <v>42</v>
      </c>
      <c r="K176" s="13"/>
      <c r="L176" s="13"/>
      <c r="M176" s="2"/>
      <c r="N176" s="2"/>
    </row>
    <row r="177" spans="2:14" ht="18.75" x14ac:dyDescent="0.3">
      <c r="B177" s="13" t="s">
        <v>125</v>
      </c>
      <c r="C177" s="14" t="s">
        <v>99</v>
      </c>
      <c r="D177" s="14" t="s">
        <v>126</v>
      </c>
      <c r="E177" s="14"/>
      <c r="F177" s="32"/>
      <c r="G177" s="15"/>
      <c r="H177" s="15"/>
      <c r="I177" s="12"/>
      <c r="J177" s="13" t="s">
        <v>43</v>
      </c>
      <c r="K177" s="13"/>
      <c r="L177" s="13"/>
      <c r="M177" s="2"/>
      <c r="N177" s="2"/>
    </row>
    <row r="178" spans="2:14" ht="18.75" x14ac:dyDescent="0.3">
      <c r="B178" s="13" t="s">
        <v>134</v>
      </c>
      <c r="C178" s="14" t="s">
        <v>135</v>
      </c>
      <c r="D178" s="14" t="s">
        <v>136</v>
      </c>
      <c r="E178" s="14"/>
      <c r="F178" s="32"/>
      <c r="G178" s="15"/>
      <c r="H178" s="15"/>
      <c r="I178" s="12"/>
      <c r="J178" s="13" t="s">
        <v>44</v>
      </c>
      <c r="K178" s="13"/>
      <c r="L178" s="13"/>
      <c r="M178" s="2"/>
      <c r="N178" s="2"/>
    </row>
    <row r="179" spans="2:14" ht="18.75" x14ac:dyDescent="0.3">
      <c r="B179" s="13" t="s">
        <v>160</v>
      </c>
      <c r="C179" s="14"/>
      <c r="D179" s="14" t="s">
        <v>161</v>
      </c>
      <c r="E179" s="14"/>
      <c r="F179" s="32"/>
      <c r="G179" s="15"/>
      <c r="H179" s="15"/>
      <c r="I179" s="12"/>
      <c r="J179" s="13" t="s">
        <v>45</v>
      </c>
      <c r="K179" s="13" t="s">
        <v>159</v>
      </c>
      <c r="L179" s="13" t="s">
        <v>158</v>
      </c>
      <c r="M179" s="2"/>
      <c r="N179" s="2"/>
    </row>
    <row r="180" spans="2:14" ht="18.75" x14ac:dyDescent="0.3">
      <c r="B180" s="13" t="s">
        <v>163</v>
      </c>
      <c r="C180" s="14" t="s">
        <v>165</v>
      </c>
      <c r="D180" s="14" t="s">
        <v>164</v>
      </c>
      <c r="E180" s="14"/>
      <c r="F180" s="14"/>
      <c r="G180" s="15"/>
      <c r="H180" s="15"/>
      <c r="I180" s="12"/>
      <c r="J180" s="13" t="s">
        <v>112</v>
      </c>
      <c r="K180" s="13"/>
      <c r="L180" s="13"/>
      <c r="M180" s="2"/>
      <c r="N180" s="2"/>
    </row>
    <row r="181" spans="2:14" ht="18.75" x14ac:dyDescent="0.3">
      <c r="B181" s="13" t="s">
        <v>166</v>
      </c>
      <c r="C181" s="14"/>
      <c r="D181" s="14" t="s">
        <v>167</v>
      </c>
      <c r="E181" s="14"/>
      <c r="F181" s="14"/>
      <c r="G181" s="15"/>
      <c r="H181" s="15"/>
      <c r="I181" s="12"/>
      <c r="J181" s="13" t="s">
        <v>49</v>
      </c>
      <c r="K181" s="13"/>
      <c r="L181" s="13"/>
      <c r="M181" s="2"/>
      <c r="N181" s="2"/>
    </row>
    <row r="182" spans="2:14" ht="19.5" thickBot="1" x14ac:dyDescent="0.35">
      <c r="B182"/>
      <c r="C182" s="10"/>
      <c r="D182" s="10"/>
      <c r="E182" s="10"/>
      <c r="F182" s="10"/>
      <c r="G182" s="10"/>
      <c r="H182" s="10"/>
      <c r="I182" s="12"/>
      <c r="J182" s="13" t="s">
        <v>46</v>
      </c>
      <c r="K182" s="13"/>
      <c r="L182" s="13"/>
      <c r="M182" s="2"/>
      <c r="N182" s="2"/>
    </row>
    <row r="183" spans="2:14" ht="21.75" thickBot="1" x14ac:dyDescent="0.35">
      <c r="B183" s="9" t="s">
        <v>20</v>
      </c>
      <c r="C183" s="11"/>
      <c r="D183" s="11"/>
      <c r="E183" s="11"/>
      <c r="F183" s="11"/>
      <c r="G183" s="11"/>
      <c r="H183" s="11"/>
      <c r="I183" s="12"/>
      <c r="J183" s="13" t="s">
        <v>47</v>
      </c>
      <c r="K183" s="13"/>
      <c r="L183" s="13"/>
      <c r="M183" s="2"/>
      <c r="N183" s="2"/>
    </row>
    <row r="184" spans="2:14" ht="18.75" x14ac:dyDescent="0.3">
      <c r="B184"/>
      <c r="C184" s="17" t="s">
        <v>86</v>
      </c>
      <c r="D184" s="17" t="s">
        <v>87</v>
      </c>
      <c r="E184" s="17" t="s">
        <v>86</v>
      </c>
      <c r="F184" s="17" t="s">
        <v>87</v>
      </c>
      <c r="G184" s="28"/>
      <c r="H184" s="28"/>
      <c r="I184" s="12"/>
      <c r="J184" s="13" t="s">
        <v>48</v>
      </c>
      <c r="K184" s="13" t="s">
        <v>111</v>
      </c>
      <c r="L184" s="13" t="s">
        <v>110</v>
      </c>
      <c r="M184" s="2" t="s">
        <v>176</v>
      </c>
      <c r="N184" s="2">
        <v>68</v>
      </c>
    </row>
    <row r="185" spans="2:14" ht="18.75" x14ac:dyDescent="0.3">
      <c r="B185" s="13" t="s">
        <v>21</v>
      </c>
      <c r="C185" s="14" t="s">
        <v>111</v>
      </c>
      <c r="D185" s="14" t="s">
        <v>130</v>
      </c>
      <c r="E185" s="14"/>
      <c r="F185" s="32">
        <v>10</v>
      </c>
      <c r="G185" s="15"/>
      <c r="H185" s="15"/>
      <c r="I185" s="12"/>
      <c r="J185" s="13" t="s">
        <v>58</v>
      </c>
      <c r="K185" s="13" t="s">
        <v>111</v>
      </c>
      <c r="L185" s="13" t="s">
        <v>129</v>
      </c>
      <c r="M185" s="2"/>
      <c r="N185" s="2"/>
    </row>
    <row r="186" spans="2:14" ht="18.75" x14ac:dyDescent="0.3">
      <c r="B186" s="13" t="s">
        <v>22</v>
      </c>
      <c r="C186" s="14"/>
      <c r="D186" s="14"/>
      <c r="E186" s="14"/>
      <c r="F186" s="32"/>
      <c r="G186" s="15"/>
      <c r="H186" s="15"/>
      <c r="I186" s="12"/>
      <c r="J186" s="13" t="s">
        <v>59</v>
      </c>
      <c r="K186" s="13"/>
      <c r="L186" s="13"/>
      <c r="M186" s="2"/>
      <c r="N186" s="2"/>
    </row>
    <row r="187" spans="2:14" ht="18.75" x14ac:dyDescent="0.3">
      <c r="B187" s="13" t="s">
        <v>23</v>
      </c>
      <c r="C187" s="14" t="s">
        <v>111</v>
      </c>
      <c r="D187" s="14" t="s">
        <v>131</v>
      </c>
      <c r="E187" s="14"/>
      <c r="F187" s="32">
        <v>22</v>
      </c>
      <c r="G187" s="15"/>
      <c r="H187" s="15"/>
      <c r="I187" s="12"/>
      <c r="J187" s="13" t="s">
        <v>60</v>
      </c>
      <c r="K187" s="13" t="s">
        <v>176</v>
      </c>
      <c r="L187" s="13">
        <v>22</v>
      </c>
      <c r="M187" s="2"/>
      <c r="N187" s="2"/>
    </row>
    <row r="188" spans="2:14" ht="18.75" x14ac:dyDescent="0.3">
      <c r="B188" s="13"/>
      <c r="C188" s="14"/>
      <c r="D188" s="14"/>
      <c r="E188" s="14"/>
      <c r="F188" s="32"/>
      <c r="G188" s="15"/>
      <c r="H188" s="15"/>
      <c r="I188" s="12"/>
      <c r="J188" s="13" t="s">
        <v>120</v>
      </c>
      <c r="K188" s="13" t="s">
        <v>99</v>
      </c>
      <c r="L188" s="13" t="s">
        <v>121</v>
      </c>
      <c r="M188" s="2"/>
      <c r="N188" s="2"/>
    </row>
    <row r="189" spans="2:14" ht="18.75" x14ac:dyDescent="0.3">
      <c r="B189" s="13" t="s">
        <v>7</v>
      </c>
      <c r="C189" s="14"/>
      <c r="D189" s="14" t="s">
        <v>162</v>
      </c>
      <c r="E189" s="14"/>
      <c r="F189" s="32"/>
      <c r="G189" s="15"/>
      <c r="H189" s="15"/>
      <c r="I189" s="12"/>
      <c r="J189" s="13" t="s">
        <v>61</v>
      </c>
      <c r="K189" s="13" t="s">
        <v>99</v>
      </c>
      <c r="L189" s="13" t="s">
        <v>119</v>
      </c>
      <c r="M189" s="2" t="s">
        <v>176</v>
      </c>
      <c r="N189" s="2">
        <v>100</v>
      </c>
    </row>
    <row r="190" spans="2:14" ht="18.75" x14ac:dyDescent="0.3">
      <c r="B190" s="13" t="s">
        <v>8</v>
      </c>
      <c r="C190" s="14"/>
      <c r="D190" s="14"/>
      <c r="E190" s="14"/>
      <c r="F190" s="32"/>
      <c r="G190" s="15"/>
      <c r="H190" s="15"/>
      <c r="I190"/>
      <c r="J190" s="13" t="s">
        <v>62</v>
      </c>
      <c r="K190" s="13" t="s">
        <v>99</v>
      </c>
      <c r="L190" s="13" t="s">
        <v>114</v>
      </c>
      <c r="M190" s="2"/>
      <c r="N190" s="2"/>
    </row>
    <row r="191" spans="2:14" ht="18.75" x14ac:dyDescent="0.3">
      <c r="B191" s="13" t="s">
        <v>9</v>
      </c>
      <c r="C191" s="14"/>
      <c r="D191" s="14"/>
      <c r="E191" s="14"/>
      <c r="F191" s="32"/>
      <c r="G191" s="15"/>
      <c r="H191" s="15"/>
      <c r="I191"/>
      <c r="J191"/>
      <c r="K191"/>
      <c r="L191"/>
      <c r="M191"/>
    </row>
    <row r="192" spans="2:14" ht="18.75" x14ac:dyDescent="0.3">
      <c r="B192" s="13" t="s">
        <v>10</v>
      </c>
      <c r="C192" s="14"/>
      <c r="D192" s="14"/>
      <c r="E192" s="14"/>
      <c r="F192" s="32"/>
      <c r="G192" s="15"/>
      <c r="H192" s="15"/>
      <c r="I192"/>
      <c r="J192"/>
      <c r="K192"/>
      <c r="L192"/>
      <c r="M192"/>
    </row>
    <row r="193" spans="2:14" ht="29.45" customHeight="1" thickBot="1" x14ac:dyDescent="0.35">
      <c r="B193" s="12"/>
      <c r="C193" s="15"/>
      <c r="D193" s="15"/>
      <c r="E193" s="15"/>
      <c r="F193" s="15"/>
      <c r="G193" s="15"/>
      <c r="H193" s="15"/>
      <c r="I193"/>
      <c r="J193"/>
      <c r="K193"/>
      <c r="L193"/>
      <c r="M193"/>
    </row>
    <row r="194" spans="2:14" ht="21.75" thickBot="1" x14ac:dyDescent="0.35">
      <c r="B194" s="12"/>
      <c r="C194" s="15"/>
      <c r="D194" s="15"/>
      <c r="E194" s="15"/>
      <c r="F194" s="15"/>
      <c r="G194" s="15"/>
      <c r="H194" s="15"/>
      <c r="I194"/>
      <c r="J194" s="9" t="s">
        <v>32</v>
      </c>
      <c r="K194"/>
      <c r="L194"/>
      <c r="M194"/>
    </row>
    <row r="195" spans="2:14" ht="18.75" x14ac:dyDescent="0.3">
      <c r="B195" s="12"/>
      <c r="C195" s="15"/>
      <c r="D195" s="15"/>
      <c r="E195" s="15"/>
      <c r="F195" s="15"/>
      <c r="G195" s="15"/>
      <c r="H195" s="15"/>
      <c r="I195" s="12"/>
      <c r="J195"/>
      <c r="K195" s="18" t="s">
        <v>86</v>
      </c>
      <c r="L195" s="18" t="s">
        <v>87</v>
      </c>
      <c r="M195" s="18" t="s">
        <v>86</v>
      </c>
      <c r="N195" s="18" t="s">
        <v>87</v>
      </c>
    </row>
    <row r="196" spans="2:14" ht="18.75" x14ac:dyDescent="0.3">
      <c r="B196" s="12"/>
      <c r="C196" s="15"/>
      <c r="D196" s="15"/>
      <c r="E196" s="15"/>
      <c r="F196" s="15"/>
      <c r="G196" s="15"/>
      <c r="H196" s="15"/>
      <c r="I196" s="12"/>
      <c r="J196" s="13" t="s">
        <v>11</v>
      </c>
      <c r="K196" s="13" t="s">
        <v>176</v>
      </c>
      <c r="L196" s="13">
        <v>1.5</v>
      </c>
      <c r="M196" s="2"/>
      <c r="N196" s="2"/>
    </row>
    <row r="197" spans="2:14" ht="18.75" x14ac:dyDescent="0.3">
      <c r="B197" s="12"/>
      <c r="C197" s="15"/>
      <c r="D197" s="15"/>
      <c r="E197" s="15"/>
      <c r="F197" s="15"/>
      <c r="G197" s="15"/>
      <c r="H197" s="15"/>
      <c r="I197" s="12"/>
      <c r="J197" s="13" t="s">
        <v>13</v>
      </c>
      <c r="K197" s="13" t="s">
        <v>176</v>
      </c>
      <c r="L197" s="13">
        <v>2.5</v>
      </c>
      <c r="M197" s="2"/>
      <c r="N197" s="2"/>
    </row>
    <row r="198" spans="2:14" ht="18.75" x14ac:dyDescent="0.3">
      <c r="B198" s="12"/>
      <c r="C198" s="15"/>
      <c r="D198" s="15"/>
      <c r="E198" s="15"/>
      <c r="F198" s="15"/>
      <c r="G198" s="15"/>
      <c r="H198" s="15"/>
      <c r="I198" s="12"/>
      <c r="J198" s="13" t="s">
        <v>12</v>
      </c>
      <c r="K198" s="13"/>
      <c r="L198" s="13">
        <v>45</v>
      </c>
      <c r="M198" s="2"/>
      <c r="N198" s="2"/>
    </row>
    <row r="199" spans="2:14" ht="18.75" x14ac:dyDescent="0.3">
      <c r="B199"/>
      <c r="C199" s="10"/>
      <c r="D199" s="10"/>
      <c r="E199" s="10"/>
      <c r="F199" s="10"/>
      <c r="G199" s="10"/>
      <c r="H199" s="10"/>
      <c r="I199" s="12"/>
      <c r="J199" s="13" t="s">
        <v>14</v>
      </c>
      <c r="K199" s="13" t="s">
        <v>99</v>
      </c>
      <c r="L199" s="19" t="s">
        <v>109</v>
      </c>
      <c r="M199" s="2" t="s">
        <v>176</v>
      </c>
      <c r="N199" s="2">
        <v>6</v>
      </c>
    </row>
    <row r="200" spans="2:14" ht="18.75" x14ac:dyDescent="0.3">
      <c r="B200"/>
      <c r="C200" s="10"/>
      <c r="D200" s="10"/>
      <c r="E200" s="10"/>
      <c r="F200" s="10"/>
      <c r="G200" s="10"/>
      <c r="H200" s="10"/>
      <c r="I200" s="12"/>
      <c r="J200" s="12"/>
      <c r="K200" s="12"/>
      <c r="L200" s="12"/>
      <c r="M200"/>
    </row>
    <row r="201" spans="2:14" ht="27.6" customHeight="1" thickBot="1" x14ac:dyDescent="0.35">
      <c r="B201"/>
      <c r="C201" s="10"/>
      <c r="D201" s="10"/>
      <c r="E201" s="10"/>
      <c r="F201" s="10"/>
      <c r="G201" s="10"/>
      <c r="H201" s="10"/>
      <c r="I201" s="12"/>
      <c r="J201" s="12"/>
      <c r="K201" s="12"/>
      <c r="L201" s="12"/>
      <c r="M201"/>
    </row>
    <row r="202" spans="2:14" ht="21.75" thickBot="1" x14ac:dyDescent="0.35">
      <c r="B202" s="9" t="s">
        <v>31</v>
      </c>
      <c r="C202" s="11"/>
      <c r="D202" s="11"/>
      <c r="E202" s="11"/>
      <c r="F202" s="11"/>
      <c r="G202" s="11"/>
      <c r="H202" s="11"/>
      <c r="I202" s="12"/>
      <c r="J202" s="9" t="s">
        <v>83</v>
      </c>
      <c r="K202"/>
      <c r="L202"/>
      <c r="M202"/>
    </row>
    <row r="203" spans="2:14" ht="18.75" x14ac:dyDescent="0.3">
      <c r="B203"/>
      <c r="C203" s="17" t="s">
        <v>86</v>
      </c>
      <c r="D203" s="17" t="s">
        <v>87</v>
      </c>
      <c r="E203" s="17" t="s">
        <v>86</v>
      </c>
      <c r="F203" s="17" t="s">
        <v>87</v>
      </c>
      <c r="G203" s="28"/>
      <c r="H203" s="28"/>
      <c r="I203" s="12"/>
      <c r="J203"/>
      <c r="K203" s="17" t="s">
        <v>86</v>
      </c>
      <c r="L203" s="17" t="s">
        <v>87</v>
      </c>
      <c r="M203"/>
    </row>
    <row r="204" spans="2:14" ht="18.75" x14ac:dyDescent="0.3">
      <c r="B204" s="13" t="s">
        <v>26</v>
      </c>
      <c r="C204" s="14" t="s">
        <v>94</v>
      </c>
      <c r="D204" s="14"/>
      <c r="E204" s="14"/>
      <c r="F204" s="32"/>
      <c r="G204" s="15"/>
      <c r="H204" s="15"/>
      <c r="I204" s="12"/>
      <c r="J204" s="13" t="s">
        <v>85</v>
      </c>
      <c r="K204" s="13"/>
      <c r="L204" s="13"/>
      <c r="M204"/>
    </row>
    <row r="205" spans="2:14" ht="18.75" x14ac:dyDescent="0.3">
      <c r="B205" s="13" t="s">
        <v>27</v>
      </c>
      <c r="C205" s="14" t="s">
        <v>98</v>
      </c>
      <c r="D205" s="20" t="s">
        <v>95</v>
      </c>
      <c r="E205" s="14" t="s">
        <v>176</v>
      </c>
      <c r="F205" s="32">
        <v>400</v>
      </c>
      <c r="G205" s="228" t="s">
        <v>179</v>
      </c>
      <c r="H205" s="228">
        <v>1150</v>
      </c>
      <c r="I205" s="12"/>
      <c r="J205" s="13" t="s">
        <v>84</v>
      </c>
      <c r="K205" s="13"/>
      <c r="L205" s="13"/>
      <c r="M205"/>
    </row>
    <row r="206" spans="2:14" ht="18.75" x14ac:dyDescent="0.3">
      <c r="B206" s="13" t="s">
        <v>28</v>
      </c>
      <c r="C206" s="14" t="s">
        <v>98</v>
      </c>
      <c r="D206" s="20" t="s">
        <v>96</v>
      </c>
      <c r="E206" s="14" t="s">
        <v>176</v>
      </c>
      <c r="F206" s="32">
        <v>800</v>
      </c>
      <c r="G206" s="228"/>
      <c r="H206" s="228"/>
      <c r="I206" s="12"/>
      <c r="J206" s="13" t="s">
        <v>105</v>
      </c>
      <c r="K206" s="13" t="s">
        <v>99</v>
      </c>
      <c r="L206" s="13" t="s">
        <v>107</v>
      </c>
      <c r="M206"/>
    </row>
    <row r="207" spans="2:14" ht="18.75" x14ac:dyDescent="0.3">
      <c r="B207" s="13" t="s">
        <v>29</v>
      </c>
      <c r="C207" s="14" t="s">
        <v>94</v>
      </c>
      <c r="D207" s="14"/>
      <c r="E207" s="14"/>
      <c r="F207" s="32"/>
      <c r="G207" s="15"/>
      <c r="H207" s="15"/>
      <c r="I207" s="12"/>
      <c r="J207" s="13" t="s">
        <v>106</v>
      </c>
      <c r="K207" s="13" t="s">
        <v>99</v>
      </c>
      <c r="L207" s="13" t="s">
        <v>108</v>
      </c>
      <c r="M207"/>
    </row>
    <row r="208" spans="2:14" ht="18.75" x14ac:dyDescent="0.3">
      <c r="B208" s="13" t="s">
        <v>30</v>
      </c>
      <c r="C208" s="14" t="s">
        <v>94</v>
      </c>
      <c r="D208" s="14"/>
      <c r="E208" s="14"/>
      <c r="F208" s="32"/>
      <c r="G208" s="15"/>
      <c r="H208" s="15"/>
      <c r="I208" s="12"/>
      <c r="J208"/>
      <c r="K208"/>
      <c r="L208"/>
      <c r="M208"/>
    </row>
    <row r="209" spans="2:15" ht="18.75" x14ac:dyDescent="0.3">
      <c r="B209" s="13"/>
      <c r="C209" s="14"/>
      <c r="D209" s="14"/>
      <c r="E209" s="14"/>
      <c r="F209" s="32"/>
      <c r="G209" s="15"/>
      <c r="H209" s="15"/>
      <c r="I209"/>
      <c r="J209"/>
      <c r="K209"/>
      <c r="L209"/>
      <c r="M209"/>
    </row>
    <row r="210" spans="2:15" ht="30" customHeight="1" thickBot="1" x14ac:dyDescent="0.35">
      <c r="B210" s="13" t="s">
        <v>16</v>
      </c>
      <c r="C210" s="14"/>
      <c r="D210" s="14"/>
      <c r="E210" s="14"/>
      <c r="F210" s="32"/>
      <c r="G210" s="15"/>
      <c r="H210" s="15"/>
      <c r="I210"/>
      <c r="J210"/>
      <c r="K210"/>
      <c r="L210"/>
      <c r="M210"/>
    </row>
    <row r="211" spans="2:15" ht="21.75" thickBot="1" x14ac:dyDescent="0.35">
      <c r="B211" s="13" t="s">
        <v>17</v>
      </c>
      <c r="C211" s="14"/>
      <c r="D211" s="14"/>
      <c r="E211" s="14"/>
      <c r="F211" s="32"/>
      <c r="G211" s="15"/>
      <c r="H211" s="15"/>
      <c r="I211"/>
      <c r="J211" s="9" t="s">
        <v>51</v>
      </c>
      <c r="K211" s="11"/>
      <c r="L211" s="11"/>
      <c r="M211" s="12"/>
    </row>
    <row r="212" spans="2:15" ht="18.75" x14ac:dyDescent="0.3">
      <c r="B212" s="13" t="s">
        <v>18</v>
      </c>
      <c r="C212" s="14"/>
      <c r="D212" s="14"/>
      <c r="E212" s="14"/>
      <c r="F212" s="32"/>
      <c r="G212" s="15"/>
      <c r="H212" s="15"/>
      <c r="I212"/>
      <c r="J212" s="12"/>
      <c r="K212" s="17" t="s">
        <v>86</v>
      </c>
      <c r="L212" s="17" t="s">
        <v>87</v>
      </c>
      <c r="M212" s="17" t="s">
        <v>86</v>
      </c>
      <c r="N212" s="17" t="s">
        <v>87</v>
      </c>
    </row>
    <row r="213" spans="2:15" ht="18.75" x14ac:dyDescent="0.3">
      <c r="B213" s="13"/>
      <c r="C213" s="14"/>
      <c r="D213" s="14"/>
      <c r="E213" s="14"/>
      <c r="F213" s="32"/>
      <c r="G213" s="15"/>
      <c r="H213" s="15"/>
      <c r="I213"/>
      <c r="J213" s="13" t="s">
        <v>53</v>
      </c>
      <c r="K213" s="14" t="s">
        <v>150</v>
      </c>
      <c r="L213" s="14" t="s">
        <v>149</v>
      </c>
      <c r="M213" s="14" t="s">
        <v>180</v>
      </c>
      <c r="N213" s="14" t="s">
        <v>149</v>
      </c>
    </row>
    <row r="214" spans="2:15" ht="18.75" x14ac:dyDescent="0.3">
      <c r="B214" s="13" t="s">
        <v>15</v>
      </c>
      <c r="C214" s="224" t="s">
        <v>99</v>
      </c>
      <c r="D214" s="224">
        <v>14</v>
      </c>
      <c r="E214" s="232" t="s">
        <v>176</v>
      </c>
      <c r="F214" s="224">
        <v>13</v>
      </c>
      <c r="G214" s="29"/>
      <c r="H214" s="29"/>
      <c r="I214"/>
      <c r="J214" s="13" t="s">
        <v>116</v>
      </c>
      <c r="K214" s="14" t="s">
        <v>99</v>
      </c>
      <c r="L214" s="14" t="s">
        <v>117</v>
      </c>
      <c r="M214" s="14" t="s">
        <v>180</v>
      </c>
      <c r="N214" s="14" t="s">
        <v>181</v>
      </c>
      <c r="O214" s="31" t="s">
        <v>182</v>
      </c>
    </row>
    <row r="215" spans="2:15" ht="18.75" x14ac:dyDescent="0.3">
      <c r="B215" s="13" t="s">
        <v>19</v>
      </c>
      <c r="C215" s="225"/>
      <c r="D215" s="225"/>
      <c r="E215" s="233"/>
      <c r="F215" s="225"/>
      <c r="G215" s="29"/>
      <c r="H215" s="29"/>
      <c r="I215"/>
      <c r="J215" s="13" t="s">
        <v>54</v>
      </c>
      <c r="K215" s="14"/>
      <c r="L215" s="14" t="s">
        <v>156</v>
      </c>
      <c r="M215" s="14"/>
      <c r="N215" s="14" t="s">
        <v>156</v>
      </c>
    </row>
    <row r="216" spans="2:15" ht="18.75" x14ac:dyDescent="0.3">
      <c r="B216" s="12"/>
      <c r="C216" s="15"/>
      <c r="D216" s="15"/>
      <c r="E216" s="15"/>
      <c r="F216" s="15"/>
      <c r="G216" s="15"/>
      <c r="H216" s="15"/>
      <c r="I216"/>
      <c r="J216" s="13" t="s">
        <v>55</v>
      </c>
      <c r="K216" s="14"/>
      <c r="L216" s="14" t="s">
        <v>157</v>
      </c>
      <c r="M216" s="14"/>
      <c r="N216" s="14" t="s">
        <v>157</v>
      </c>
    </row>
    <row r="217" spans="2:15" ht="18.75" x14ac:dyDescent="0.3">
      <c r="B217" s="12"/>
      <c r="C217" s="15"/>
      <c r="D217" s="15"/>
      <c r="E217" s="15"/>
      <c r="F217" s="15"/>
      <c r="G217" s="15"/>
      <c r="H217" s="15"/>
      <c r="I217"/>
      <c r="J217" s="13" t="s">
        <v>52</v>
      </c>
      <c r="K217" s="14"/>
      <c r="L217" s="14" t="s">
        <v>154</v>
      </c>
      <c r="M217" s="14"/>
      <c r="N217" s="14" t="s">
        <v>154</v>
      </c>
    </row>
    <row r="218" spans="2:15" ht="19.5" thickBot="1" x14ac:dyDescent="0.35">
      <c r="B218"/>
      <c r="C218" s="10"/>
      <c r="D218" s="10"/>
      <c r="E218" s="10"/>
      <c r="F218" s="10"/>
      <c r="G218" s="10"/>
      <c r="H218" s="10"/>
      <c r="I218"/>
      <c r="J218" s="13" t="s">
        <v>56</v>
      </c>
      <c r="K218" s="14"/>
      <c r="L218" s="14"/>
      <c r="M218" s="14"/>
      <c r="N218" s="14"/>
    </row>
    <row r="219" spans="2:15" ht="21.75" thickBot="1" x14ac:dyDescent="0.35">
      <c r="B219" s="9" t="s">
        <v>50</v>
      </c>
      <c r="C219" s="11"/>
      <c r="D219" s="11"/>
      <c r="E219" s="11"/>
      <c r="F219" s="11"/>
      <c r="G219" s="11"/>
      <c r="H219" s="11"/>
      <c r="I219"/>
      <c r="J219" s="13" t="s">
        <v>151</v>
      </c>
      <c r="K219" s="13"/>
      <c r="L219" s="13" t="s">
        <v>155</v>
      </c>
      <c r="M219" s="13"/>
      <c r="N219" s="13" t="s">
        <v>155</v>
      </c>
    </row>
    <row r="220" spans="2:15" ht="32.450000000000003" customHeight="1" thickBot="1" x14ac:dyDescent="0.35">
      <c r="B220"/>
      <c r="C220" s="17" t="s">
        <v>86</v>
      </c>
      <c r="D220" s="17" t="s">
        <v>87</v>
      </c>
      <c r="E220" s="17" t="s">
        <v>86</v>
      </c>
      <c r="F220" s="17" t="s">
        <v>87</v>
      </c>
      <c r="G220" s="28"/>
      <c r="H220" s="28"/>
      <c r="I220"/>
      <c r="J220"/>
      <c r="K220"/>
      <c r="L220"/>
      <c r="M220"/>
    </row>
    <row r="221" spans="2:15" ht="21.75" thickBot="1" x14ac:dyDescent="0.35">
      <c r="B221" s="13" t="s">
        <v>88</v>
      </c>
      <c r="C221" s="14"/>
      <c r="D221" s="14"/>
      <c r="E221" s="15"/>
      <c r="F221" s="15"/>
      <c r="G221" s="15"/>
      <c r="H221" s="15"/>
      <c r="I221"/>
      <c r="J221" s="9" t="s">
        <v>63</v>
      </c>
      <c r="K221" s="11"/>
      <c r="L221" s="11"/>
      <c r="M221"/>
    </row>
    <row r="222" spans="2:15" ht="18.75" x14ac:dyDescent="0.3">
      <c r="B222" s="13" t="s">
        <v>89</v>
      </c>
      <c r="C222" s="14"/>
      <c r="D222" s="14"/>
      <c r="E222" s="15"/>
      <c r="F222" s="15"/>
      <c r="G222" s="15"/>
      <c r="H222" s="15"/>
      <c r="I222" s="12"/>
      <c r="J222"/>
      <c r="K222" s="17" t="s">
        <v>86</v>
      </c>
      <c r="L222" s="17" t="s">
        <v>87</v>
      </c>
      <c r="M222" s="17" t="s">
        <v>86</v>
      </c>
      <c r="N222" s="17" t="s">
        <v>87</v>
      </c>
    </row>
    <row r="223" spans="2:15" ht="18.75" x14ac:dyDescent="0.3">
      <c r="B223" s="13" t="s">
        <v>90</v>
      </c>
      <c r="C223" s="14"/>
      <c r="D223" s="14"/>
      <c r="E223" s="15"/>
      <c r="F223" s="15"/>
      <c r="G223" s="15"/>
      <c r="H223" s="15"/>
      <c r="I223" s="12"/>
      <c r="J223" s="13" t="s">
        <v>64</v>
      </c>
      <c r="K223" s="14"/>
      <c r="L223" s="14"/>
      <c r="M223" s="14"/>
      <c r="N223" s="14"/>
    </row>
    <row r="224" spans="2:15" ht="18.75" x14ac:dyDescent="0.3">
      <c r="B224" s="13" t="s">
        <v>91</v>
      </c>
      <c r="C224" s="14"/>
      <c r="D224" s="14" t="s">
        <v>142</v>
      </c>
      <c r="E224" s="15"/>
      <c r="F224" s="15"/>
      <c r="G224" s="15"/>
      <c r="H224" s="15"/>
      <c r="I224" s="12"/>
      <c r="J224" s="13" t="s">
        <v>65</v>
      </c>
      <c r="K224" s="14"/>
      <c r="L224" s="14"/>
      <c r="M224" s="14"/>
      <c r="N224" s="14"/>
    </row>
    <row r="225" spans="2:15" ht="18.75" x14ac:dyDescent="0.3">
      <c r="B225" s="13" t="s">
        <v>92</v>
      </c>
      <c r="C225" s="14"/>
      <c r="D225" s="14"/>
      <c r="E225" s="15"/>
      <c r="F225" s="15"/>
      <c r="G225" s="15"/>
      <c r="H225" s="15"/>
      <c r="I225" s="12"/>
      <c r="J225" s="13" t="s">
        <v>66</v>
      </c>
      <c r="K225" s="14"/>
      <c r="L225" s="14" t="s">
        <v>164</v>
      </c>
      <c r="M225" s="14"/>
      <c r="N225" s="14"/>
    </row>
    <row r="226" spans="2:15" ht="18.75" x14ac:dyDescent="0.3">
      <c r="B226" s="13" t="s">
        <v>93</v>
      </c>
      <c r="C226" s="14"/>
      <c r="D226" s="14"/>
      <c r="E226" s="15"/>
      <c r="F226" s="15"/>
      <c r="G226" s="15"/>
      <c r="H226" s="15"/>
      <c r="I226" s="12"/>
      <c r="J226" s="13" t="s">
        <v>67</v>
      </c>
      <c r="K226" s="14"/>
      <c r="L226" s="14" t="s">
        <v>168</v>
      </c>
      <c r="M226" s="14"/>
      <c r="N226" s="14"/>
    </row>
    <row r="227" spans="2:15" ht="18.75" x14ac:dyDescent="0.3">
      <c r="B227" s="13" t="s">
        <v>137</v>
      </c>
      <c r="C227" s="14" t="s">
        <v>99</v>
      </c>
      <c r="D227" s="14" t="s">
        <v>138</v>
      </c>
      <c r="E227" s="10"/>
      <c r="F227" s="10"/>
      <c r="G227" s="10"/>
      <c r="H227" s="10"/>
      <c r="I227" s="12"/>
      <c r="J227" s="25" t="s">
        <v>169</v>
      </c>
      <c r="K227" s="14"/>
      <c r="L227" s="14"/>
      <c r="M227" s="14"/>
      <c r="N227" s="14"/>
    </row>
    <row r="228" spans="2:15" ht="18.75" x14ac:dyDescent="0.3">
      <c r="B228" s="12" t="s">
        <v>171</v>
      </c>
      <c r="C228" s="15" t="s">
        <v>172</v>
      </c>
      <c r="D228" s="15">
        <v>26700</v>
      </c>
      <c r="E228" s="10"/>
      <c r="F228" s="10"/>
      <c r="G228" s="10"/>
      <c r="H228" s="10"/>
      <c r="I228" s="12"/>
      <c r="J228" s="25" t="s">
        <v>68</v>
      </c>
      <c r="K228" s="14"/>
      <c r="L228" s="14" t="s">
        <v>170</v>
      </c>
      <c r="M228" s="14"/>
      <c r="N228" s="14"/>
    </row>
    <row r="229" spans="2:15" ht="19.5" thickBot="1" x14ac:dyDescent="0.35">
      <c r="B229"/>
      <c r="C229" s="10"/>
      <c r="D229" s="10"/>
      <c r="E229" s="10"/>
      <c r="F229" s="10"/>
      <c r="G229" s="10"/>
      <c r="H229" s="10"/>
      <c r="I229" s="12"/>
      <c r="J229" s="25" t="s">
        <v>71</v>
      </c>
      <c r="K229" s="14"/>
      <c r="L229" s="14"/>
      <c r="M229" s="14"/>
      <c r="N229" s="14"/>
    </row>
    <row r="230" spans="2:15" ht="21.75" thickBot="1" x14ac:dyDescent="0.35">
      <c r="B230" s="9" t="s">
        <v>57</v>
      </c>
      <c r="C230" s="11"/>
      <c r="D230" s="11"/>
      <c r="E230" s="11"/>
      <c r="F230" s="11"/>
      <c r="G230" s="11"/>
      <c r="H230" s="11"/>
      <c r="I230" s="12"/>
      <c r="J230" s="25" t="s">
        <v>69</v>
      </c>
      <c r="K230" s="14"/>
      <c r="L230" s="14"/>
      <c r="M230" s="14"/>
      <c r="N230" s="14"/>
    </row>
    <row r="231" spans="2:15" ht="18.75" x14ac:dyDescent="0.3">
      <c r="B231"/>
      <c r="C231" s="17" t="s">
        <v>86</v>
      </c>
      <c r="D231" s="17" t="s">
        <v>87</v>
      </c>
      <c r="E231" s="17" t="s">
        <v>86</v>
      </c>
      <c r="F231" s="17" t="s">
        <v>87</v>
      </c>
      <c r="G231" s="28"/>
      <c r="H231" s="28"/>
      <c r="I231" s="12"/>
      <c r="J231" s="25" t="s">
        <v>70</v>
      </c>
      <c r="K231" s="14"/>
      <c r="L231" s="14"/>
      <c r="M231" s="14"/>
      <c r="N231" s="14"/>
    </row>
    <row r="232" spans="2:15" ht="18.75" x14ac:dyDescent="0.3">
      <c r="B232" s="13" t="s">
        <v>72</v>
      </c>
      <c r="C232" s="14"/>
      <c r="D232" s="14"/>
      <c r="E232" s="14"/>
      <c r="F232" s="14"/>
      <c r="G232" s="15"/>
      <c r="H232" s="15"/>
      <c r="I232" s="12"/>
      <c r="J232" s="25" t="s">
        <v>173</v>
      </c>
      <c r="K232" s="23" t="s">
        <v>99</v>
      </c>
      <c r="L232" s="23" t="s">
        <v>101</v>
      </c>
      <c r="M232" s="23"/>
      <c r="N232" s="23"/>
      <c r="O232" s="24"/>
    </row>
    <row r="233" spans="2:15" ht="18.75" x14ac:dyDescent="0.3">
      <c r="B233" s="13" t="s">
        <v>73</v>
      </c>
      <c r="C233" s="14"/>
      <c r="D233" s="14"/>
      <c r="E233" s="14"/>
      <c r="F233" s="14"/>
      <c r="G233" s="15"/>
      <c r="H233" s="15"/>
      <c r="I233" s="12"/>
      <c r="J233" s="25" t="s">
        <v>174</v>
      </c>
      <c r="K233" s="19" t="s">
        <v>172</v>
      </c>
      <c r="L233" s="19">
        <v>2280</v>
      </c>
      <c r="M233" s="19" t="s">
        <v>178</v>
      </c>
      <c r="N233" s="19">
        <v>1300</v>
      </c>
      <c r="O233" s="24"/>
    </row>
    <row r="234" spans="2:15" ht="18.75" x14ac:dyDescent="0.3">
      <c r="B234" s="13" t="s">
        <v>74</v>
      </c>
      <c r="C234" s="14"/>
      <c r="D234" s="14"/>
      <c r="E234" s="14"/>
      <c r="F234" s="14"/>
      <c r="G234" s="15"/>
      <c r="H234" s="15"/>
      <c r="I234" s="12"/>
      <c r="J234" s="26"/>
      <c r="K234" s="12"/>
      <c r="L234" s="12"/>
      <c r="M234"/>
    </row>
    <row r="235" spans="2:15" ht="18.75" x14ac:dyDescent="0.3">
      <c r="B235" s="13" t="s">
        <v>75</v>
      </c>
      <c r="C235" s="14"/>
      <c r="D235" s="14"/>
      <c r="E235" s="14"/>
      <c r="F235" s="14"/>
      <c r="G235" s="15"/>
      <c r="H235" s="15"/>
      <c r="I235" s="12"/>
      <c r="J235" s="26"/>
      <c r="K235" s="12"/>
      <c r="L235" s="12"/>
      <c r="M235"/>
    </row>
    <row r="236" spans="2:15" ht="18.75" x14ac:dyDescent="0.3">
      <c r="B236" s="13" t="s">
        <v>122</v>
      </c>
      <c r="C236" s="14"/>
      <c r="D236" s="14" t="s">
        <v>143</v>
      </c>
      <c r="E236" s="14"/>
      <c r="F236" s="14"/>
      <c r="G236" s="15"/>
      <c r="H236" s="15"/>
      <c r="I236" s="12"/>
      <c r="J236" s="26"/>
      <c r="K236" s="12"/>
      <c r="L236" s="12"/>
      <c r="M236"/>
    </row>
    <row r="237" spans="2:15" ht="18.75" x14ac:dyDescent="0.3">
      <c r="B237" s="13" t="s">
        <v>123</v>
      </c>
      <c r="C237" s="14" t="s">
        <v>99</v>
      </c>
      <c r="D237" s="14" t="s">
        <v>124</v>
      </c>
      <c r="E237" s="14"/>
      <c r="F237" s="14"/>
      <c r="G237" s="15"/>
      <c r="H237" s="15"/>
      <c r="I237" s="12"/>
      <c r="J237" s="26"/>
      <c r="K237" s="12"/>
      <c r="L237" s="12"/>
      <c r="M237"/>
    </row>
    <row r="238" spans="2:15" ht="18.75" x14ac:dyDescent="0.3">
      <c r="B238" s="13" t="s">
        <v>76</v>
      </c>
      <c r="C238" s="14"/>
      <c r="D238" s="14"/>
      <c r="E238" s="14"/>
      <c r="F238" s="14"/>
      <c r="G238" s="15"/>
      <c r="H238" s="15"/>
      <c r="I238"/>
      <c r="J238" s="27"/>
      <c r="K238"/>
      <c r="L238"/>
      <c r="M238"/>
    </row>
    <row r="239" spans="2:15" ht="18.75" x14ac:dyDescent="0.3">
      <c r="B239" s="13" t="s">
        <v>77</v>
      </c>
      <c r="C239" s="14"/>
      <c r="D239" s="14" t="s">
        <v>144</v>
      </c>
      <c r="E239" s="14" t="s">
        <v>176</v>
      </c>
      <c r="F239" s="14">
        <v>100</v>
      </c>
      <c r="G239" s="15"/>
      <c r="H239" s="15"/>
      <c r="I239"/>
      <c r="J239" s="27"/>
      <c r="K239"/>
      <c r="L239"/>
      <c r="M239"/>
    </row>
    <row r="240" spans="2:15" ht="18.75" x14ac:dyDescent="0.3">
      <c r="B240" s="13" t="s">
        <v>78</v>
      </c>
      <c r="C240" s="14"/>
      <c r="D240" s="14" t="s">
        <v>113</v>
      </c>
      <c r="E240" s="14" t="s">
        <v>176</v>
      </c>
      <c r="F240" s="14">
        <v>250</v>
      </c>
      <c r="G240" s="15"/>
      <c r="H240" s="15"/>
      <c r="I240"/>
      <c r="J240"/>
      <c r="K240"/>
      <c r="L240"/>
      <c r="M240"/>
    </row>
    <row r="241" spans="2:13" ht="18.75" x14ac:dyDescent="0.3">
      <c r="B241" s="13" t="s">
        <v>79</v>
      </c>
      <c r="C241" s="14" t="s">
        <v>172</v>
      </c>
      <c r="D241" s="14">
        <v>140</v>
      </c>
      <c r="E241" s="14"/>
      <c r="F241" s="14"/>
      <c r="G241" s="15"/>
      <c r="H241" s="15"/>
      <c r="I241"/>
      <c r="J241"/>
      <c r="K241"/>
      <c r="L241"/>
      <c r="M241"/>
    </row>
    <row r="242" spans="2:13" ht="18.75" x14ac:dyDescent="0.3">
      <c r="B242" s="13" t="s">
        <v>81</v>
      </c>
      <c r="C242" s="14" t="s">
        <v>99</v>
      </c>
      <c r="D242" s="14" t="s">
        <v>113</v>
      </c>
      <c r="E242" s="14"/>
      <c r="F242" s="14"/>
      <c r="G242" s="15"/>
      <c r="H242" s="15"/>
      <c r="I242"/>
      <c r="J242"/>
      <c r="K242"/>
      <c r="L242"/>
      <c r="M242"/>
    </row>
    <row r="243" spans="2:13" ht="18.75" x14ac:dyDescent="0.3">
      <c r="B243" s="13" t="s">
        <v>80</v>
      </c>
      <c r="C243" s="14"/>
      <c r="D243" s="14" t="s">
        <v>144</v>
      </c>
      <c r="E243" s="14"/>
      <c r="F243" s="14"/>
      <c r="G243" s="15"/>
      <c r="H243" s="15"/>
      <c r="I243"/>
      <c r="J243"/>
      <c r="K243"/>
      <c r="L243"/>
      <c r="M243"/>
    </row>
    <row r="244" spans="2:13" ht="18.75" x14ac:dyDescent="0.3">
      <c r="B244" s="13" t="s">
        <v>82</v>
      </c>
      <c r="C244" s="14"/>
      <c r="D244" s="14" t="s">
        <v>113</v>
      </c>
      <c r="E244" s="14"/>
      <c r="F244" s="14"/>
      <c r="G244" s="15"/>
      <c r="H244" s="15"/>
      <c r="I244"/>
      <c r="J244"/>
      <c r="K244"/>
      <c r="L244"/>
      <c r="M244"/>
    </row>
    <row r="245" spans="2:13" ht="18.75" x14ac:dyDescent="0.3">
      <c r="B245" s="13" t="s">
        <v>177</v>
      </c>
      <c r="C245" s="14" t="s">
        <v>176</v>
      </c>
      <c r="D245" s="14">
        <v>200</v>
      </c>
      <c r="E245" s="14"/>
      <c r="F245" s="14"/>
      <c r="G245" s="15"/>
      <c r="H245" s="15"/>
      <c r="I245"/>
      <c r="J245"/>
      <c r="K245"/>
      <c r="L245"/>
      <c r="M245"/>
    </row>
    <row r="246" spans="2:13" ht="18.75" x14ac:dyDescent="0.3">
      <c r="B246" s="12"/>
      <c r="C246" s="15"/>
      <c r="D246" s="15"/>
      <c r="E246" s="15"/>
      <c r="F246" s="15"/>
      <c r="G246" s="15"/>
      <c r="H246" s="15"/>
      <c r="I246"/>
      <c r="J246"/>
      <c r="K246"/>
      <c r="L246"/>
      <c r="M246"/>
    </row>
    <row r="247" spans="2:13" ht="18.75" x14ac:dyDescent="0.3">
      <c r="B247" s="12"/>
      <c r="C247" s="15"/>
      <c r="D247" s="15"/>
      <c r="E247" s="10"/>
      <c r="F247" s="10"/>
      <c r="G247" s="10"/>
      <c r="H247" s="10"/>
      <c r="I247"/>
      <c r="J247"/>
      <c r="K247"/>
      <c r="L247"/>
      <c r="M247"/>
    </row>
    <row r="248" spans="2:13" ht="15" x14ac:dyDescent="0.25">
      <c r="B248"/>
      <c r="C248" s="10"/>
      <c r="D248" s="10"/>
      <c r="E248" s="10"/>
      <c r="F248" s="10"/>
      <c r="G248" s="10"/>
      <c r="H248" s="10"/>
      <c r="I248"/>
      <c r="J248"/>
      <c r="K248"/>
      <c r="L248"/>
      <c r="M248"/>
    </row>
    <row r="249" spans="2:13" ht="15" x14ac:dyDescent="0.25">
      <c r="B249"/>
      <c r="C249" s="10"/>
      <c r="D249" s="10"/>
      <c r="E249" s="10"/>
      <c r="F249" s="10"/>
      <c r="G249" s="10"/>
      <c r="H249" s="10"/>
      <c r="I249"/>
      <c r="J249"/>
      <c r="K249"/>
      <c r="L249"/>
      <c r="M249"/>
    </row>
    <row r="250" spans="2:13" ht="15" x14ac:dyDescent="0.25">
      <c r="B250"/>
      <c r="C250" s="10"/>
      <c r="D250" s="10"/>
      <c r="E250" s="10"/>
      <c r="F250" s="10"/>
      <c r="G250" s="10"/>
      <c r="H250" s="10"/>
      <c r="I250"/>
      <c r="J250"/>
      <c r="K250"/>
      <c r="L250"/>
      <c r="M250"/>
    </row>
    <row r="251" spans="2:13" ht="15" x14ac:dyDescent="0.25">
      <c r="B251"/>
      <c r="C251" s="10"/>
      <c r="D251" s="10"/>
      <c r="E251" s="10"/>
      <c r="F251" s="10"/>
      <c r="G251" s="10"/>
      <c r="H251" s="10"/>
      <c r="I251"/>
      <c r="J251"/>
      <c r="K251"/>
      <c r="L251"/>
      <c r="M251"/>
    </row>
    <row r="252" spans="2:13" ht="15" x14ac:dyDescent="0.25">
      <c r="B252"/>
      <c r="C252" s="10"/>
      <c r="D252" s="10"/>
      <c r="E252" s="10"/>
      <c r="F252" s="10"/>
      <c r="G252" s="10"/>
      <c r="H252" s="10"/>
      <c r="I252"/>
      <c r="J252"/>
      <c r="K252"/>
      <c r="L252"/>
      <c r="M252"/>
    </row>
    <row r="253" spans="2:13" ht="15" x14ac:dyDescent="0.25">
      <c r="B253"/>
      <c r="C253" s="10"/>
      <c r="D253" s="10"/>
      <c r="E253" s="10"/>
      <c r="F253" s="10"/>
      <c r="G253" s="10"/>
      <c r="H253" s="10"/>
      <c r="I253"/>
      <c r="J253"/>
      <c r="K253"/>
      <c r="L253"/>
      <c r="M253"/>
    </row>
    <row r="254" spans="2:13" ht="15" x14ac:dyDescent="0.25">
      <c r="B254"/>
      <c r="C254" s="10"/>
      <c r="D254" s="10"/>
      <c r="E254" s="10"/>
      <c r="F254" s="10"/>
      <c r="G254" s="10"/>
      <c r="H254" s="10"/>
      <c r="I254"/>
      <c r="J254"/>
      <c r="K254"/>
      <c r="L254"/>
      <c r="M254"/>
    </row>
    <row r="255" spans="2:13" ht="15" x14ac:dyDescent="0.25">
      <c r="B255"/>
      <c r="C255" s="10"/>
      <c r="D255" s="10"/>
      <c r="E255" s="10"/>
      <c r="F255" s="10"/>
      <c r="G255" s="10"/>
      <c r="H255" s="10"/>
      <c r="I255"/>
      <c r="J255"/>
      <c r="K255"/>
      <c r="L255"/>
      <c r="M255"/>
    </row>
    <row r="256" spans="2:13" ht="15" x14ac:dyDescent="0.25">
      <c r="B256"/>
      <c r="C256" s="10"/>
      <c r="D256" s="10"/>
      <c r="E256" s="10"/>
      <c r="F256" s="10"/>
      <c r="G256" s="10"/>
      <c r="H256" s="10"/>
      <c r="I256"/>
      <c r="J256"/>
      <c r="K256"/>
      <c r="L256"/>
      <c r="M256"/>
    </row>
    <row r="257" spans="2:13" ht="15" x14ac:dyDescent="0.25">
      <c r="B257"/>
      <c r="C257" s="10"/>
      <c r="D257" s="10"/>
      <c r="E257" s="10"/>
      <c r="F257" s="10"/>
      <c r="G257" s="10"/>
      <c r="H257" s="10"/>
      <c r="I257"/>
      <c r="J257"/>
      <c r="K257"/>
      <c r="L257"/>
      <c r="M257"/>
    </row>
    <row r="258" spans="2:13" ht="15" x14ac:dyDescent="0.25">
      <c r="B258"/>
      <c r="C258" s="10"/>
      <c r="D258" s="10"/>
      <c r="E258" s="10"/>
      <c r="F258" s="10"/>
      <c r="G258" s="10"/>
      <c r="H258" s="10"/>
      <c r="I258"/>
      <c r="J258"/>
      <c r="K258"/>
      <c r="L258"/>
      <c r="M258"/>
    </row>
    <row r="259" spans="2:13" ht="15" x14ac:dyDescent="0.25">
      <c r="B259"/>
      <c r="C259" s="10"/>
      <c r="D259" s="10"/>
      <c r="E259" s="10"/>
      <c r="F259" s="10"/>
      <c r="G259" s="10"/>
      <c r="H259" s="10"/>
      <c r="I259"/>
      <c r="J259"/>
      <c r="K259"/>
      <c r="L259"/>
      <c r="M259"/>
    </row>
    <row r="260" spans="2:13" ht="15" x14ac:dyDescent="0.25">
      <c r="B260"/>
      <c r="C260" s="10"/>
      <c r="D260" s="10"/>
      <c r="E260" s="10"/>
      <c r="F260" s="10"/>
      <c r="G260" s="10"/>
      <c r="H260" s="10"/>
      <c r="I260"/>
      <c r="J260"/>
      <c r="K260"/>
      <c r="L260"/>
      <c r="M260"/>
    </row>
    <row r="261" spans="2:13" ht="15" x14ac:dyDescent="0.25">
      <c r="B261"/>
      <c r="C261" s="10"/>
      <c r="D261" s="10"/>
      <c r="E261" s="10"/>
      <c r="F261" s="10"/>
      <c r="G261" s="10"/>
      <c r="H261" s="10"/>
      <c r="I261"/>
      <c r="J261"/>
      <c r="K261"/>
      <c r="L261"/>
      <c r="M261"/>
    </row>
    <row r="262" spans="2:13" ht="15" x14ac:dyDescent="0.25">
      <c r="B262"/>
      <c r="C262" s="10"/>
      <c r="D262" s="10"/>
      <c r="E262" s="10"/>
      <c r="F262" s="10"/>
      <c r="G262" s="10"/>
      <c r="H262" s="10"/>
      <c r="I262"/>
      <c r="J262"/>
      <c r="K262"/>
      <c r="L262"/>
      <c r="M262"/>
    </row>
    <row r="263" spans="2:13" ht="15" x14ac:dyDescent="0.25">
      <c r="B263"/>
      <c r="C263" s="10"/>
      <c r="D263" s="10"/>
      <c r="E263" s="10"/>
      <c r="F263" s="10"/>
      <c r="G263" s="10"/>
      <c r="H263" s="10"/>
      <c r="I263"/>
      <c r="J263"/>
      <c r="K263"/>
      <c r="L263"/>
      <c r="M263"/>
    </row>
    <row r="264" spans="2:13" ht="15" x14ac:dyDescent="0.25">
      <c r="B264"/>
      <c r="C264" s="10"/>
      <c r="D264" s="10"/>
      <c r="E264" s="10"/>
      <c r="F264" s="10"/>
      <c r="G264" s="10"/>
      <c r="H264" s="10"/>
      <c r="I264"/>
      <c r="J264"/>
      <c r="K264"/>
      <c r="L264"/>
      <c r="M264"/>
    </row>
    <row r="265" spans="2:13" ht="15" x14ac:dyDescent="0.25">
      <c r="B265"/>
      <c r="C265" s="10"/>
      <c r="D265" s="10"/>
      <c r="E265" s="10"/>
      <c r="F265" s="10"/>
      <c r="G265" s="10"/>
      <c r="H265" s="10"/>
      <c r="I265"/>
      <c r="J265"/>
      <c r="K265"/>
      <c r="L265"/>
      <c r="M265"/>
    </row>
    <row r="266" spans="2:13" ht="15" x14ac:dyDescent="0.25">
      <c r="B266"/>
      <c r="C266" s="10"/>
      <c r="D266" s="10"/>
      <c r="E266" s="10"/>
      <c r="F266" s="10"/>
      <c r="G266" s="10"/>
      <c r="H266" s="10"/>
      <c r="I266"/>
      <c r="J266"/>
      <c r="K266"/>
      <c r="L266"/>
      <c r="M266"/>
    </row>
    <row r="267" spans="2:13" ht="15" x14ac:dyDescent="0.25">
      <c r="B267"/>
      <c r="C267" s="10"/>
      <c r="D267" s="10"/>
      <c r="E267" s="10"/>
      <c r="F267" s="10"/>
      <c r="G267" s="10"/>
      <c r="H267" s="10"/>
      <c r="I267"/>
      <c r="J267"/>
      <c r="K267"/>
      <c r="L267"/>
      <c r="M267"/>
    </row>
    <row r="268" spans="2:13" ht="15" x14ac:dyDescent="0.25">
      <c r="B268"/>
      <c r="C268" s="10"/>
      <c r="D268" s="10"/>
      <c r="E268" s="10"/>
      <c r="F268" s="10"/>
      <c r="G268" s="10"/>
      <c r="H268" s="10"/>
      <c r="I268"/>
      <c r="J268"/>
      <c r="K268"/>
      <c r="L268"/>
      <c r="M268"/>
    </row>
    <row r="269" spans="2:13" ht="15" x14ac:dyDescent="0.25">
      <c r="B269"/>
      <c r="C269" s="10"/>
      <c r="D269" s="10"/>
      <c r="E269" s="10"/>
      <c r="F269" s="10"/>
      <c r="G269" s="10"/>
      <c r="H269" s="10"/>
      <c r="I269"/>
      <c r="J269"/>
      <c r="K269"/>
      <c r="L269"/>
      <c r="M269"/>
    </row>
    <row r="270" spans="2:13" ht="15" x14ac:dyDescent="0.25">
      <c r="B270"/>
      <c r="C270" s="10"/>
      <c r="D270" s="10"/>
      <c r="E270" s="10"/>
      <c r="F270" s="10"/>
      <c r="G270" s="10"/>
      <c r="H270" s="10"/>
      <c r="I270"/>
      <c r="J270"/>
      <c r="K270"/>
      <c r="L270"/>
      <c r="M270"/>
    </row>
    <row r="271" spans="2:13" ht="15" x14ac:dyDescent="0.25">
      <c r="B271"/>
      <c r="C271" s="10"/>
      <c r="D271" s="10"/>
      <c r="E271" s="10"/>
      <c r="F271" s="10"/>
      <c r="G271" s="10"/>
      <c r="H271" s="10"/>
      <c r="I271"/>
      <c r="J271"/>
      <c r="K271"/>
      <c r="L271"/>
      <c r="M271"/>
    </row>
    <row r="272" spans="2:13" ht="15" x14ac:dyDescent="0.25">
      <c r="B272"/>
      <c r="C272" s="10"/>
      <c r="D272" s="10"/>
      <c r="E272" s="10"/>
      <c r="F272" s="10"/>
      <c r="G272" s="10"/>
      <c r="H272" s="10"/>
      <c r="I272"/>
      <c r="J272"/>
      <c r="K272"/>
      <c r="L272"/>
      <c r="M272"/>
    </row>
    <row r="273" spans="2:13" ht="15" x14ac:dyDescent="0.25">
      <c r="B273"/>
      <c r="C273" s="10"/>
      <c r="D273" s="10"/>
      <c r="E273" s="10"/>
      <c r="F273" s="10"/>
      <c r="G273" s="10"/>
      <c r="H273" s="10"/>
      <c r="I273"/>
      <c r="J273"/>
      <c r="K273"/>
      <c r="L273"/>
      <c r="M273"/>
    </row>
    <row r="274" spans="2:13" ht="15" x14ac:dyDescent="0.25">
      <c r="B274"/>
      <c r="C274" s="10"/>
      <c r="D274" s="10"/>
      <c r="E274" s="10"/>
      <c r="F274" s="10"/>
      <c r="G274" s="10"/>
      <c r="H274" s="10"/>
      <c r="I274"/>
      <c r="J274"/>
      <c r="K274"/>
      <c r="L274"/>
      <c r="M274"/>
    </row>
    <row r="275" spans="2:13" ht="15" x14ac:dyDescent="0.25">
      <c r="B275"/>
      <c r="C275" s="10"/>
      <c r="D275" s="10"/>
      <c r="E275" s="10"/>
      <c r="F275" s="10"/>
      <c r="G275" s="10"/>
      <c r="H275" s="10"/>
      <c r="I275"/>
      <c r="J275"/>
      <c r="K275"/>
      <c r="L275"/>
      <c r="M275"/>
    </row>
    <row r="276" spans="2:13" ht="15" x14ac:dyDescent="0.25">
      <c r="B276"/>
      <c r="C276" s="10"/>
      <c r="D276" s="10"/>
      <c r="E276" s="10"/>
      <c r="F276" s="10"/>
      <c r="G276" s="10"/>
      <c r="H276" s="10"/>
      <c r="I276"/>
      <c r="J276"/>
      <c r="K276"/>
      <c r="L276"/>
      <c r="M276"/>
    </row>
    <row r="277" spans="2:13" ht="15" x14ac:dyDescent="0.25">
      <c r="B277"/>
      <c r="C277" s="10"/>
      <c r="D277" s="10"/>
      <c r="E277" s="10"/>
      <c r="F277" s="10"/>
      <c r="G277" s="10"/>
      <c r="H277" s="10"/>
      <c r="I277"/>
      <c r="J277"/>
      <c r="K277"/>
      <c r="L277"/>
      <c r="M277"/>
    </row>
    <row r="278" spans="2:13" ht="15" x14ac:dyDescent="0.25">
      <c r="B278"/>
      <c r="C278" s="10"/>
      <c r="D278" s="10"/>
      <c r="E278" s="10"/>
      <c r="F278" s="10"/>
      <c r="G278" s="10"/>
      <c r="H278" s="10"/>
      <c r="I278"/>
      <c r="J278"/>
      <c r="K278"/>
      <c r="L278"/>
      <c r="M278"/>
    </row>
    <row r="279" spans="2:13" ht="15" x14ac:dyDescent="0.25">
      <c r="B279"/>
      <c r="C279" s="10"/>
      <c r="D279" s="10"/>
      <c r="E279" s="10"/>
      <c r="F279" s="10"/>
      <c r="G279" s="10"/>
      <c r="H279" s="10"/>
      <c r="I279"/>
      <c r="J279"/>
      <c r="K279"/>
      <c r="L279"/>
      <c r="M279"/>
    </row>
    <row r="280" spans="2:13" ht="15" x14ac:dyDescent="0.25">
      <c r="B280"/>
      <c r="C280" s="10"/>
      <c r="D280" s="10"/>
      <c r="E280" s="10"/>
      <c r="F280" s="10"/>
      <c r="G280" s="10"/>
      <c r="H280" s="10"/>
      <c r="I280"/>
      <c r="J280"/>
      <c r="K280"/>
      <c r="L280"/>
      <c r="M280"/>
    </row>
    <row r="281" spans="2:13" ht="15" x14ac:dyDescent="0.25">
      <c r="B281"/>
      <c r="C281" s="10"/>
      <c r="D281" s="10"/>
      <c r="E281" s="10"/>
      <c r="F281" s="10"/>
      <c r="G281" s="10"/>
      <c r="H281" s="10"/>
      <c r="I281"/>
      <c r="J281"/>
      <c r="K281"/>
      <c r="L281"/>
      <c r="M281"/>
    </row>
    <row r="282" spans="2:13" ht="15" x14ac:dyDescent="0.25">
      <c r="B282"/>
      <c r="C282" s="10"/>
      <c r="D282" s="10"/>
      <c r="E282" s="10"/>
      <c r="F282" s="10"/>
      <c r="G282" s="10"/>
      <c r="H282" s="10"/>
      <c r="I282"/>
      <c r="J282"/>
      <c r="K282"/>
      <c r="L282"/>
      <c r="M282"/>
    </row>
    <row r="283" spans="2:13" ht="15" x14ac:dyDescent="0.25">
      <c r="B283"/>
      <c r="C283" s="10"/>
      <c r="D283" s="10"/>
      <c r="E283" s="10"/>
      <c r="F283" s="10"/>
      <c r="G283" s="10"/>
      <c r="H283" s="10"/>
      <c r="I283"/>
      <c r="J283"/>
      <c r="K283"/>
      <c r="L283"/>
      <c r="M283"/>
    </row>
    <row r="284" spans="2:13" ht="15" x14ac:dyDescent="0.25">
      <c r="B284"/>
      <c r="C284" s="10"/>
      <c r="D284" s="10"/>
      <c r="E284" s="10"/>
      <c r="F284" s="10"/>
      <c r="G284" s="10"/>
      <c r="H284" s="10"/>
      <c r="I284"/>
      <c r="J284"/>
      <c r="K284"/>
      <c r="L284"/>
      <c r="M284"/>
    </row>
    <row r="285" spans="2:13" ht="15" x14ac:dyDescent="0.25">
      <c r="B285"/>
      <c r="C285" s="10"/>
      <c r="D285" s="10"/>
      <c r="E285" s="10"/>
      <c r="F285" s="10"/>
      <c r="G285" s="10"/>
      <c r="H285" s="10"/>
      <c r="I285"/>
      <c r="J285"/>
      <c r="K285"/>
      <c r="L285"/>
      <c r="M285"/>
    </row>
    <row r="286" spans="2:13" ht="15" x14ac:dyDescent="0.25">
      <c r="B286"/>
      <c r="C286" s="10"/>
      <c r="D286" s="10"/>
      <c r="E286" s="10"/>
      <c r="F286" s="10"/>
      <c r="G286" s="10"/>
      <c r="H286" s="10"/>
      <c r="I286"/>
      <c r="J286"/>
      <c r="K286"/>
      <c r="L286"/>
      <c r="M286"/>
    </row>
    <row r="287" spans="2:13" ht="15" x14ac:dyDescent="0.25">
      <c r="B287"/>
      <c r="C287" s="10"/>
      <c r="D287" s="10"/>
      <c r="E287" s="10"/>
      <c r="F287" s="10"/>
      <c r="G287" s="10"/>
      <c r="H287" s="10"/>
      <c r="I287"/>
      <c r="J287"/>
      <c r="K287"/>
      <c r="L287"/>
      <c r="M287"/>
    </row>
    <row r="288" spans="2:13" ht="15" x14ac:dyDescent="0.25">
      <c r="B288"/>
      <c r="C288" s="10"/>
      <c r="D288" s="10"/>
      <c r="E288" s="10"/>
      <c r="F288" s="10"/>
      <c r="G288" s="10"/>
      <c r="H288" s="10"/>
      <c r="I288"/>
      <c r="J288"/>
      <c r="K288"/>
      <c r="L288"/>
      <c r="M288"/>
    </row>
    <row r="289" spans="2:13" ht="15" x14ac:dyDescent="0.25">
      <c r="B289"/>
      <c r="C289" s="10"/>
      <c r="D289" s="10"/>
      <c r="E289" s="10"/>
      <c r="F289" s="10"/>
      <c r="G289" s="10"/>
      <c r="H289" s="10"/>
      <c r="I289"/>
      <c r="J289"/>
      <c r="K289"/>
      <c r="L289"/>
      <c r="M289"/>
    </row>
    <row r="290" spans="2:13" ht="15" x14ac:dyDescent="0.25">
      <c r="B290"/>
      <c r="C290" s="10"/>
      <c r="D290" s="10"/>
      <c r="E290" s="10"/>
      <c r="F290" s="10"/>
      <c r="G290" s="10"/>
      <c r="H290" s="10"/>
      <c r="I290"/>
      <c r="J290"/>
      <c r="K290"/>
      <c r="L290"/>
      <c r="M290"/>
    </row>
  </sheetData>
  <mergeCells count="48">
    <mergeCell ref="A4:A7"/>
    <mergeCell ref="D4:D7"/>
    <mergeCell ref="E4:E7"/>
    <mergeCell ref="F4:F7"/>
    <mergeCell ref="I4:I65"/>
    <mergeCell ref="A8:A10"/>
    <mergeCell ref="D8:D10"/>
    <mergeCell ref="A29:A33"/>
    <mergeCell ref="D29:D30"/>
    <mergeCell ref="A11:A14"/>
    <mergeCell ref="A15:A18"/>
    <mergeCell ref="D15:D18"/>
    <mergeCell ref="A19:A28"/>
    <mergeCell ref="D19:D20"/>
    <mergeCell ref="D21:D22"/>
    <mergeCell ref="N1:Q1"/>
    <mergeCell ref="H205:H206"/>
    <mergeCell ref="A54:A62"/>
    <mergeCell ref="D59:D60"/>
    <mergeCell ref="D61:D62"/>
    <mergeCell ref="A63:A65"/>
    <mergeCell ref="D63:D64"/>
    <mergeCell ref="D32:D33"/>
    <mergeCell ref="A34:A40"/>
    <mergeCell ref="A41:A48"/>
    <mergeCell ref="D41:D42"/>
    <mergeCell ref="A49:A53"/>
    <mergeCell ref="D49:D50"/>
    <mergeCell ref="M21:M22"/>
    <mergeCell ref="D23:D25"/>
    <mergeCell ref="D27:D28"/>
    <mergeCell ref="F156:F157"/>
    <mergeCell ref="E156:E157"/>
    <mergeCell ref="N7:N9"/>
    <mergeCell ref="P7:P9"/>
    <mergeCell ref="Q20:Q21"/>
    <mergeCell ref="E27:E28"/>
    <mergeCell ref="F27:F28"/>
    <mergeCell ref="H27:H28"/>
    <mergeCell ref="K8:K10"/>
    <mergeCell ref="J4:J65"/>
    <mergeCell ref="C214:C215"/>
    <mergeCell ref="D214:D215"/>
    <mergeCell ref="D162:D163"/>
    <mergeCell ref="G205:G206"/>
    <mergeCell ref="Q161:Q163"/>
    <mergeCell ref="F214:F215"/>
    <mergeCell ref="E214:E2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0507-5D05-4616-96AD-436C1080CD2D}">
  <sheetPr codeName="Feuil4"/>
  <dimension ref="A6:W13"/>
  <sheetViews>
    <sheetView workbookViewId="0">
      <selection activeCell="E21" sqref="E21"/>
    </sheetView>
  </sheetViews>
  <sheetFormatPr baseColWidth="10" defaultRowHeight="15" x14ac:dyDescent="0.25"/>
  <cols>
    <col min="5" max="8" width="17.42578125" customWidth="1"/>
  </cols>
  <sheetData>
    <row r="6" spans="1:23" x14ac:dyDescent="0.25">
      <c r="A6" s="24"/>
      <c r="B6" s="24" t="s">
        <v>334</v>
      </c>
      <c r="C6" s="24"/>
      <c r="D6" s="24" t="s">
        <v>335</v>
      </c>
      <c r="E6" s="24"/>
      <c r="F6" s="24"/>
      <c r="G6" s="24"/>
      <c r="H6" s="24"/>
      <c r="I6" s="24"/>
      <c r="J6" s="24"/>
      <c r="K6" s="24"/>
      <c r="L6" s="130"/>
      <c r="M6" s="122"/>
      <c r="V6" s="122"/>
      <c r="W6" s="122"/>
    </row>
    <row r="7" spans="1:23" x14ac:dyDescent="0.25">
      <c r="A7" s="24"/>
      <c r="B7" s="24"/>
      <c r="C7" s="24"/>
      <c r="D7" s="24" t="s">
        <v>336</v>
      </c>
      <c r="E7" s="24"/>
      <c r="F7" s="24"/>
      <c r="G7" s="24"/>
      <c r="H7" s="24"/>
      <c r="I7" s="24"/>
      <c r="J7" s="24"/>
      <c r="K7" s="24"/>
      <c r="L7" s="130"/>
      <c r="M7" s="122"/>
      <c r="V7" s="122"/>
      <c r="W7" s="122"/>
    </row>
    <row r="8" spans="1:23" x14ac:dyDescent="0.25">
      <c r="A8" s="24"/>
      <c r="B8" s="24"/>
      <c r="C8" s="24"/>
      <c r="D8" s="24" t="s">
        <v>337</v>
      </c>
      <c r="E8" s="24" t="s">
        <v>338</v>
      </c>
      <c r="F8" s="24"/>
      <c r="G8" s="24"/>
      <c r="H8" s="24"/>
      <c r="I8" s="24"/>
      <c r="J8" s="24"/>
      <c r="K8" s="24"/>
      <c r="L8" s="130"/>
      <c r="M8" s="122"/>
      <c r="V8" s="122"/>
      <c r="W8" s="122"/>
    </row>
    <row r="9" spans="1:23" x14ac:dyDescent="0.25">
      <c r="A9" s="24"/>
      <c r="B9" s="24"/>
      <c r="C9" s="24"/>
      <c r="D9" s="24" t="s">
        <v>339</v>
      </c>
      <c r="E9" s="24" t="s">
        <v>341</v>
      </c>
      <c r="F9" s="24" t="s">
        <v>340</v>
      </c>
      <c r="G9" s="24"/>
      <c r="H9" s="24" t="s">
        <v>346</v>
      </c>
      <c r="I9" s="24"/>
      <c r="J9" s="24"/>
      <c r="K9" s="24"/>
      <c r="L9" s="130"/>
      <c r="M9" s="122"/>
      <c r="V9" s="122"/>
      <c r="W9" s="122"/>
    </row>
    <row r="10" spans="1:23" ht="18.75" x14ac:dyDescent="0.25">
      <c r="A10" s="24"/>
      <c r="B10" s="8" t="s">
        <v>11</v>
      </c>
      <c r="C10" s="145"/>
      <c r="D10" s="62" t="s">
        <v>240</v>
      </c>
      <c r="E10" s="98">
        <v>7.0000000000000007E-2</v>
      </c>
      <c r="F10" s="75">
        <v>0.02</v>
      </c>
      <c r="G10" s="24">
        <f>+E10/F10*1000</f>
        <v>3500.0000000000005</v>
      </c>
      <c r="H10" s="130">
        <f>+G10*0.85</f>
        <v>2975.0000000000005</v>
      </c>
      <c r="I10" s="122"/>
    </row>
    <row r="11" spans="1:23" ht="18.75" x14ac:dyDescent="0.25">
      <c r="A11" s="24"/>
      <c r="B11" s="8" t="s">
        <v>13</v>
      </c>
      <c r="C11" s="145"/>
      <c r="D11" s="62" t="s">
        <v>239</v>
      </c>
      <c r="E11" s="98">
        <v>0.2</v>
      </c>
      <c r="F11" s="75">
        <v>0.05</v>
      </c>
      <c r="G11" s="24">
        <f>+E11/F11*1000</f>
        <v>4000</v>
      </c>
      <c r="H11" s="130">
        <f>+G11*0.85</f>
        <v>3400</v>
      </c>
      <c r="I11" s="122"/>
    </row>
    <row r="12" spans="1:23" ht="18.75" x14ac:dyDescent="0.25">
      <c r="A12" s="24"/>
      <c r="B12" s="8" t="s">
        <v>12</v>
      </c>
      <c r="C12" s="145"/>
      <c r="D12" s="62" t="s">
        <v>241</v>
      </c>
      <c r="E12" s="98">
        <v>0.3</v>
      </c>
      <c r="F12" s="75">
        <v>0.09</v>
      </c>
      <c r="G12" s="24">
        <f>+E12/F12*1000</f>
        <v>3333.3333333333335</v>
      </c>
      <c r="H12" s="130">
        <f>+G12*0.85</f>
        <v>2833.3333333333335</v>
      </c>
      <c r="I12" s="122"/>
    </row>
    <row r="13" spans="1:23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130"/>
      <c r="M13" s="122"/>
      <c r="V13" s="122"/>
      <c r="W13" s="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DCA7-F142-4C7C-937D-98425502BF74}">
  <sheetPr codeName="Feuil5"/>
  <dimension ref="A1:AT415"/>
  <sheetViews>
    <sheetView zoomScale="60" zoomScaleNormal="60" workbookViewId="0">
      <selection activeCell="G5" sqref="G5"/>
    </sheetView>
  </sheetViews>
  <sheetFormatPr baseColWidth="10" defaultColWidth="9.140625" defaultRowHeight="15.75" x14ac:dyDescent="0.25"/>
  <cols>
    <col min="2" max="2" width="109.7109375" style="34" customWidth="1"/>
    <col min="3" max="3" width="20.85546875" style="75" customWidth="1"/>
    <col min="4" max="4" width="5.5703125" style="1" customWidth="1"/>
    <col min="5" max="5" width="8.5703125" style="1" customWidth="1"/>
    <col min="6" max="6" width="13.7109375" style="1" customWidth="1"/>
    <col min="7" max="7" width="30" style="95" customWidth="1"/>
    <col min="8" max="8" width="19.42578125" style="1" customWidth="1"/>
    <col min="9" max="9" width="13.42578125" customWidth="1"/>
    <col min="10" max="11" width="9.140625" customWidth="1"/>
    <col min="12" max="12" width="12.85546875" customWidth="1"/>
    <col min="13" max="16" width="3.7109375" customWidth="1"/>
    <col min="17" max="46" width="5.7109375" customWidth="1"/>
  </cols>
  <sheetData>
    <row r="1" spans="1:46" ht="16.5" thickBot="1" x14ac:dyDescent="0.3"/>
    <row r="2" spans="1:46" s="33" customFormat="1" ht="58.15" customHeight="1" x14ac:dyDescent="0.25">
      <c r="A2" s="71" t="s">
        <v>363</v>
      </c>
      <c r="B2" s="71" t="s">
        <v>212</v>
      </c>
      <c r="C2" s="71" t="s">
        <v>436</v>
      </c>
      <c r="D2" s="72" t="s">
        <v>183</v>
      </c>
      <c r="E2" s="72" t="s">
        <v>318</v>
      </c>
      <c r="F2" s="72" t="s">
        <v>315</v>
      </c>
      <c r="G2" s="72" t="s">
        <v>203</v>
      </c>
      <c r="H2" s="72" t="s">
        <v>185</v>
      </c>
      <c r="J2" s="33" t="s">
        <v>372</v>
      </c>
      <c r="K2" s="33">
        <v>9.8000000000000007</v>
      </c>
      <c r="L2" s="33" t="s">
        <v>780</v>
      </c>
      <c r="Y2" s="75"/>
      <c r="Z2" s="75"/>
      <c r="AA2" s="75"/>
      <c r="AB2" s="75"/>
      <c r="AC2" s="75"/>
      <c r="AD2" s="75"/>
      <c r="AE2" s="75"/>
    </row>
    <row r="3" spans="1:46" ht="15" customHeight="1" x14ac:dyDescent="0.25">
      <c r="A3" s="1" t="s">
        <v>510</v>
      </c>
      <c r="B3" s="165" t="s">
        <v>453</v>
      </c>
      <c r="C3" s="157" t="s">
        <v>442</v>
      </c>
      <c r="D3" s="161" t="s">
        <v>202</v>
      </c>
      <c r="E3" s="161">
        <v>650</v>
      </c>
      <c r="F3" s="161" t="s">
        <v>472</v>
      </c>
      <c r="G3" s="160">
        <v>1500</v>
      </c>
      <c r="H3" s="161" t="s">
        <v>190</v>
      </c>
    </row>
    <row r="4" spans="1:46" ht="15" customHeight="1" x14ac:dyDescent="0.25">
      <c r="A4" s="140" t="s">
        <v>511</v>
      </c>
      <c r="B4" s="165" t="s">
        <v>460</v>
      </c>
      <c r="C4" s="157" t="s">
        <v>442</v>
      </c>
      <c r="D4" s="161" t="s">
        <v>189</v>
      </c>
      <c r="E4" s="161">
        <v>350</v>
      </c>
      <c r="F4" s="161" t="s">
        <v>472</v>
      </c>
      <c r="G4" s="160">
        <v>950</v>
      </c>
      <c r="H4" s="161"/>
      <c r="I4" s="209"/>
      <c r="L4" t="s">
        <v>781</v>
      </c>
    </row>
    <row r="5" spans="1:46" ht="15" customHeight="1" x14ac:dyDescent="0.25">
      <c r="A5" s="140" t="s">
        <v>512</v>
      </c>
      <c r="B5" s="165" t="s">
        <v>459</v>
      </c>
      <c r="C5" s="157" t="s">
        <v>442</v>
      </c>
      <c r="D5" s="161" t="s">
        <v>189</v>
      </c>
      <c r="E5" s="161">
        <v>350</v>
      </c>
      <c r="F5" s="161" t="s">
        <v>472</v>
      </c>
      <c r="G5" s="160">
        <v>1200</v>
      </c>
      <c r="H5" s="161"/>
      <c r="I5" s="209"/>
      <c r="L5" t="s">
        <v>781</v>
      </c>
      <c r="Q5" t="s">
        <v>782</v>
      </c>
      <c r="R5" t="s">
        <v>783</v>
      </c>
      <c r="S5" t="s">
        <v>784</v>
      </c>
      <c r="T5" t="s">
        <v>785</v>
      </c>
      <c r="U5" t="s">
        <v>786</v>
      </c>
      <c r="V5" t="s">
        <v>787</v>
      </c>
      <c r="W5" t="s">
        <v>788</v>
      </c>
      <c r="X5" t="s">
        <v>789</v>
      </c>
      <c r="Y5" t="s">
        <v>790</v>
      </c>
      <c r="Z5" t="s">
        <v>791</v>
      </c>
      <c r="AA5" t="s">
        <v>792</v>
      </c>
      <c r="AB5" t="s">
        <v>793</v>
      </c>
      <c r="AC5" t="s">
        <v>794</v>
      </c>
      <c r="AD5" t="s">
        <v>795</v>
      </c>
      <c r="AE5" t="s">
        <v>796</v>
      </c>
      <c r="AF5" t="s">
        <v>797</v>
      </c>
      <c r="AG5" t="s">
        <v>798</v>
      </c>
      <c r="AH5" t="s">
        <v>799</v>
      </c>
      <c r="AI5" t="s">
        <v>800</v>
      </c>
      <c r="AJ5" t="s">
        <v>801</v>
      </c>
      <c r="AK5" t="s">
        <v>802</v>
      </c>
      <c r="AL5" t="s">
        <v>803</v>
      </c>
      <c r="AM5" t="s">
        <v>804</v>
      </c>
      <c r="AN5" t="s">
        <v>805</v>
      </c>
      <c r="AO5" t="s">
        <v>806</v>
      </c>
      <c r="AP5" t="s">
        <v>807</v>
      </c>
      <c r="AQ5" t="s">
        <v>808</v>
      </c>
      <c r="AR5" t="s">
        <v>809</v>
      </c>
      <c r="AS5" t="s">
        <v>810</v>
      </c>
      <c r="AT5" t="s">
        <v>811</v>
      </c>
    </row>
    <row r="6" spans="1:46" ht="15" customHeight="1" x14ac:dyDescent="0.25">
      <c r="A6" s="140" t="s">
        <v>513</v>
      </c>
      <c r="B6" s="165" t="s">
        <v>458</v>
      </c>
      <c r="C6" s="157" t="s">
        <v>442</v>
      </c>
      <c r="D6" s="161" t="s">
        <v>189</v>
      </c>
      <c r="E6" s="161">
        <v>350</v>
      </c>
      <c r="F6" s="161" t="s">
        <v>472</v>
      </c>
      <c r="G6" s="160">
        <v>1020</v>
      </c>
      <c r="H6" s="161"/>
      <c r="I6" s="209"/>
      <c r="L6" t="s">
        <v>781</v>
      </c>
      <c r="Q6">
        <v>150</v>
      </c>
      <c r="R6">
        <v>150</v>
      </c>
      <c r="S6">
        <v>150</v>
      </c>
      <c r="T6">
        <v>150</v>
      </c>
      <c r="U6">
        <v>150</v>
      </c>
      <c r="V6">
        <v>150</v>
      </c>
      <c r="W6">
        <v>150</v>
      </c>
      <c r="X6">
        <v>150</v>
      </c>
    </row>
    <row r="7" spans="1:46" ht="15" customHeight="1" x14ac:dyDescent="0.25">
      <c r="A7" s="140" t="s">
        <v>514</v>
      </c>
      <c r="B7" s="165" t="s">
        <v>457</v>
      </c>
      <c r="C7" s="157" t="s">
        <v>442</v>
      </c>
      <c r="D7" s="161" t="s">
        <v>189</v>
      </c>
      <c r="E7" s="161">
        <v>350</v>
      </c>
      <c r="F7" s="161" t="s">
        <v>472</v>
      </c>
      <c r="G7" s="160">
        <v>1320</v>
      </c>
      <c r="H7" s="161"/>
      <c r="I7" s="209"/>
      <c r="L7" t="s">
        <v>781</v>
      </c>
      <c r="Q7" s="260">
        <v>46038</v>
      </c>
      <c r="R7" s="260"/>
      <c r="S7" s="260"/>
    </row>
    <row r="8" spans="1:46" ht="15" customHeight="1" x14ac:dyDescent="0.25">
      <c r="A8" s="140" t="s">
        <v>515</v>
      </c>
      <c r="B8" s="165" t="s">
        <v>400</v>
      </c>
      <c r="C8" s="157" t="s">
        <v>442</v>
      </c>
      <c r="D8" s="161" t="s">
        <v>189</v>
      </c>
      <c r="E8" s="161">
        <v>350</v>
      </c>
      <c r="F8" s="161" t="s">
        <v>472</v>
      </c>
      <c r="G8" s="160">
        <v>1090</v>
      </c>
      <c r="H8" s="161"/>
      <c r="I8" s="209"/>
      <c r="L8" t="s">
        <v>781</v>
      </c>
      <c r="Q8" t="s">
        <v>881</v>
      </c>
      <c r="S8" t="s">
        <v>884</v>
      </c>
    </row>
    <row r="9" spans="1:46" ht="15" customHeight="1" x14ac:dyDescent="0.25">
      <c r="A9" s="140" t="s">
        <v>516</v>
      </c>
      <c r="B9" s="165" t="s">
        <v>401</v>
      </c>
      <c r="C9" s="157" t="s">
        <v>442</v>
      </c>
      <c r="D9" s="161" t="s">
        <v>189</v>
      </c>
      <c r="E9" s="161">
        <v>350</v>
      </c>
      <c r="F9" s="161" t="s">
        <v>472</v>
      </c>
      <c r="G9" s="160">
        <v>1390</v>
      </c>
      <c r="H9" s="161"/>
      <c r="I9" s="209"/>
      <c r="L9" t="s">
        <v>781</v>
      </c>
      <c r="Q9" t="s">
        <v>882</v>
      </c>
      <c r="S9" t="s">
        <v>883</v>
      </c>
    </row>
    <row r="10" spans="1:46" ht="15" customHeight="1" x14ac:dyDescent="0.25">
      <c r="A10" s="1" t="s">
        <v>523</v>
      </c>
      <c r="B10" s="165" t="s">
        <v>501</v>
      </c>
      <c r="C10" s="157" t="s">
        <v>442</v>
      </c>
      <c r="D10" s="161" t="s">
        <v>202</v>
      </c>
      <c r="E10" s="161">
        <v>350</v>
      </c>
      <c r="F10" s="161" t="s">
        <v>645</v>
      </c>
      <c r="G10" s="162">
        <v>1340</v>
      </c>
      <c r="H10" s="161"/>
      <c r="L10" t="s">
        <v>781</v>
      </c>
    </row>
    <row r="11" spans="1:46" ht="15" customHeight="1" x14ac:dyDescent="0.25">
      <c r="A11" s="1" t="s">
        <v>524</v>
      </c>
      <c r="B11" s="165" t="s">
        <v>507</v>
      </c>
      <c r="C11" s="157" t="s">
        <v>442</v>
      </c>
      <c r="D11" s="161" t="s">
        <v>202</v>
      </c>
      <c r="E11" s="161">
        <v>350</v>
      </c>
      <c r="F11" s="161" t="s">
        <v>645</v>
      </c>
      <c r="G11" s="162">
        <v>1740</v>
      </c>
      <c r="H11" s="161"/>
      <c r="L11" t="s">
        <v>781</v>
      </c>
    </row>
    <row r="12" spans="1:46" ht="15" customHeight="1" x14ac:dyDescent="0.25">
      <c r="A12" s="24" t="s">
        <v>814</v>
      </c>
      <c r="B12" s="165" t="s">
        <v>911</v>
      </c>
      <c r="C12" s="157" t="s">
        <v>442</v>
      </c>
      <c r="D12" s="161" t="s">
        <v>189</v>
      </c>
      <c r="E12" s="161">
        <v>350</v>
      </c>
      <c r="F12" s="161" t="s">
        <v>472</v>
      </c>
      <c r="G12" s="162">
        <v>1600</v>
      </c>
      <c r="H12" s="161"/>
    </row>
    <row r="13" spans="1:46" ht="15" customHeight="1" x14ac:dyDescent="0.25">
      <c r="A13" s="24" t="s">
        <v>815</v>
      </c>
      <c r="B13" s="165" t="s">
        <v>912</v>
      </c>
      <c r="C13" s="157" t="s">
        <v>442</v>
      </c>
      <c r="D13" s="161" t="s">
        <v>189</v>
      </c>
      <c r="E13" s="161">
        <v>350</v>
      </c>
      <c r="F13" s="161" t="s">
        <v>472</v>
      </c>
      <c r="G13" s="162">
        <v>1700</v>
      </c>
      <c r="H13" s="161"/>
    </row>
    <row r="14" spans="1:46" ht="15" customHeight="1" x14ac:dyDescent="0.25">
      <c r="A14" s="24" t="s">
        <v>816</v>
      </c>
      <c r="B14" s="165" t="s">
        <v>913</v>
      </c>
      <c r="C14" s="157" t="s">
        <v>442</v>
      </c>
      <c r="D14" s="161" t="s">
        <v>189</v>
      </c>
      <c r="E14" s="161">
        <v>350</v>
      </c>
      <c r="F14" s="161" t="s">
        <v>472</v>
      </c>
      <c r="G14" s="162">
        <v>1850</v>
      </c>
      <c r="H14" s="161"/>
    </row>
    <row r="15" spans="1:46" ht="15" customHeight="1" x14ac:dyDescent="0.25">
      <c r="A15" s="24" t="s">
        <v>817</v>
      </c>
      <c r="B15" s="165" t="s">
        <v>812</v>
      </c>
      <c r="C15" s="157" t="s">
        <v>442</v>
      </c>
      <c r="D15" s="161" t="s">
        <v>189</v>
      </c>
      <c r="E15" s="161">
        <v>350</v>
      </c>
      <c r="F15" s="161" t="s">
        <v>472</v>
      </c>
      <c r="G15" s="162">
        <v>1160</v>
      </c>
      <c r="H15" s="161"/>
    </row>
    <row r="16" spans="1:46" ht="15" customHeight="1" x14ac:dyDescent="0.25">
      <c r="A16" s="210" t="s">
        <v>818</v>
      </c>
      <c r="B16" s="165" t="s">
        <v>813</v>
      </c>
      <c r="C16" s="157" t="s">
        <v>442</v>
      </c>
      <c r="D16" s="161" t="s">
        <v>189</v>
      </c>
      <c r="E16" s="161">
        <v>350</v>
      </c>
      <c r="F16" s="161" t="s">
        <v>472</v>
      </c>
      <c r="G16" s="162">
        <v>1460</v>
      </c>
      <c r="H16" s="161"/>
    </row>
    <row r="17" spans="1:8" ht="15" customHeight="1" x14ac:dyDescent="0.25">
      <c r="A17" s="210" t="s">
        <v>819</v>
      </c>
      <c r="B17" s="165" t="s">
        <v>914</v>
      </c>
      <c r="C17" s="157" t="s">
        <v>442</v>
      </c>
      <c r="D17" s="161" t="s">
        <v>189</v>
      </c>
      <c r="E17" s="161">
        <v>350</v>
      </c>
      <c r="F17" s="161" t="s">
        <v>472</v>
      </c>
      <c r="G17" s="162">
        <v>2050</v>
      </c>
      <c r="H17" s="161"/>
    </row>
    <row r="18" spans="1:8" ht="15" customHeight="1" x14ac:dyDescent="0.25">
      <c r="A18" s="210" t="s">
        <v>820</v>
      </c>
      <c r="B18" s="165" t="s">
        <v>915</v>
      </c>
      <c r="C18" s="157" t="s">
        <v>442</v>
      </c>
      <c r="D18" s="161" t="s">
        <v>189</v>
      </c>
      <c r="E18" s="161">
        <v>350</v>
      </c>
      <c r="F18" s="161" t="s">
        <v>472</v>
      </c>
      <c r="G18" s="162">
        <v>2300</v>
      </c>
      <c r="H18" s="161"/>
    </row>
    <row r="19" spans="1:8" ht="15" customHeight="1" x14ac:dyDescent="0.25">
      <c r="A19" s="140" t="s">
        <v>517</v>
      </c>
      <c r="B19" s="165" t="s">
        <v>461</v>
      </c>
      <c r="C19" s="157" t="s">
        <v>442</v>
      </c>
      <c r="D19" s="161" t="s">
        <v>202</v>
      </c>
      <c r="E19" s="161">
        <v>200</v>
      </c>
      <c r="F19" s="161" t="s">
        <v>645</v>
      </c>
      <c r="G19" s="160">
        <v>450</v>
      </c>
      <c r="H19" s="161"/>
    </row>
    <row r="20" spans="1:8" ht="15" customHeight="1" x14ac:dyDescent="0.25">
      <c r="A20" s="140" t="s">
        <v>518</v>
      </c>
      <c r="B20" s="165" t="s">
        <v>462</v>
      </c>
      <c r="C20" s="157" t="s">
        <v>442</v>
      </c>
      <c r="D20" s="161" t="s">
        <v>202</v>
      </c>
      <c r="E20" s="161">
        <v>200</v>
      </c>
      <c r="F20" s="161" t="s">
        <v>645</v>
      </c>
      <c r="G20" s="160">
        <v>700</v>
      </c>
      <c r="H20" s="161"/>
    </row>
    <row r="21" spans="1:8" ht="15" customHeight="1" x14ac:dyDescent="0.25">
      <c r="A21" s="140" t="s">
        <v>519</v>
      </c>
      <c r="B21" s="165" t="s">
        <v>463</v>
      </c>
      <c r="C21" s="157" t="s">
        <v>442</v>
      </c>
      <c r="D21" s="161" t="s">
        <v>202</v>
      </c>
      <c r="E21" s="161">
        <v>200</v>
      </c>
      <c r="F21" s="161" t="s">
        <v>645</v>
      </c>
      <c r="G21" s="160">
        <v>470</v>
      </c>
      <c r="H21" s="161"/>
    </row>
    <row r="22" spans="1:8" ht="15" customHeight="1" x14ac:dyDescent="0.25">
      <c r="A22" s="140" t="s">
        <v>520</v>
      </c>
      <c r="B22" s="165" t="s">
        <v>464</v>
      </c>
      <c r="C22" s="157" t="s">
        <v>442</v>
      </c>
      <c r="D22" s="161" t="s">
        <v>202</v>
      </c>
      <c r="E22" s="161">
        <v>200</v>
      </c>
      <c r="F22" s="161" t="s">
        <v>645</v>
      </c>
      <c r="G22" s="160">
        <v>720</v>
      </c>
      <c r="H22" s="161"/>
    </row>
    <row r="23" spans="1:8" ht="15" customHeight="1" x14ac:dyDescent="0.25">
      <c r="A23" s="140" t="s">
        <v>521</v>
      </c>
      <c r="B23" s="165" t="s">
        <v>452</v>
      </c>
      <c r="C23" s="157" t="s">
        <v>442</v>
      </c>
      <c r="D23" s="161" t="s">
        <v>202</v>
      </c>
      <c r="E23" s="161">
        <v>200</v>
      </c>
      <c r="F23" s="161" t="s">
        <v>645</v>
      </c>
      <c r="G23" s="160">
        <v>490</v>
      </c>
      <c r="H23" s="161" t="s">
        <v>190</v>
      </c>
    </row>
    <row r="24" spans="1:8" ht="15" customHeight="1" x14ac:dyDescent="0.25">
      <c r="A24" s="140" t="s">
        <v>522</v>
      </c>
      <c r="B24" s="165" t="s">
        <v>451</v>
      </c>
      <c r="C24" s="157" t="s">
        <v>442</v>
      </c>
      <c r="D24" s="161" t="s">
        <v>202</v>
      </c>
      <c r="E24" s="161">
        <v>200</v>
      </c>
      <c r="F24" s="161" t="s">
        <v>645</v>
      </c>
      <c r="G24" s="160">
        <v>740</v>
      </c>
      <c r="H24" s="161"/>
    </row>
    <row r="25" spans="1:8" ht="15" customHeight="1" x14ac:dyDescent="0.25">
      <c r="A25" s="1" t="s">
        <v>525</v>
      </c>
      <c r="B25" s="165" t="s">
        <v>508</v>
      </c>
      <c r="C25" s="157" t="s">
        <v>442</v>
      </c>
      <c r="D25" s="161" t="s">
        <v>202</v>
      </c>
      <c r="E25" s="161">
        <v>201</v>
      </c>
      <c r="F25" s="161" t="s">
        <v>645</v>
      </c>
      <c r="G25" s="162">
        <v>590</v>
      </c>
      <c r="H25" s="161"/>
    </row>
    <row r="26" spans="1:8" ht="15" customHeight="1" x14ac:dyDescent="0.25">
      <c r="A26" s="1" t="s">
        <v>526</v>
      </c>
      <c r="B26" s="165" t="s">
        <v>509</v>
      </c>
      <c r="C26" s="157" t="s">
        <v>442</v>
      </c>
      <c r="D26" s="161" t="s">
        <v>202</v>
      </c>
      <c r="E26" s="161">
        <v>202</v>
      </c>
      <c r="F26" s="161" t="s">
        <v>645</v>
      </c>
      <c r="G26" s="162">
        <v>940</v>
      </c>
      <c r="H26" s="161" t="s">
        <v>190</v>
      </c>
    </row>
    <row r="27" spans="1:8" ht="15" customHeight="1" x14ac:dyDescent="0.25">
      <c r="A27" s="1" t="s">
        <v>814</v>
      </c>
      <c r="B27" s="165" t="s">
        <v>916</v>
      </c>
      <c r="C27" s="157" t="s">
        <v>442</v>
      </c>
      <c r="D27" s="161" t="s">
        <v>202</v>
      </c>
      <c r="E27" s="161">
        <v>203</v>
      </c>
      <c r="F27" s="161" t="s">
        <v>645</v>
      </c>
      <c r="G27" s="162">
        <v>1000</v>
      </c>
      <c r="H27" s="161"/>
    </row>
    <row r="28" spans="1:8" ht="15" customHeight="1" x14ac:dyDescent="0.25">
      <c r="A28" s="1" t="s">
        <v>815</v>
      </c>
      <c r="B28" s="165" t="s">
        <v>917</v>
      </c>
      <c r="C28" s="157" t="s">
        <v>442</v>
      </c>
      <c r="D28" s="161" t="s">
        <v>202</v>
      </c>
      <c r="E28" s="161">
        <v>204</v>
      </c>
      <c r="F28" s="161" t="s">
        <v>645</v>
      </c>
      <c r="G28" s="162">
        <v>1200</v>
      </c>
      <c r="H28" s="161"/>
    </row>
    <row r="29" spans="1:8" ht="15" customHeight="1" x14ac:dyDescent="0.25">
      <c r="A29" s="1" t="s">
        <v>897</v>
      </c>
      <c r="B29" s="165" t="s">
        <v>900</v>
      </c>
      <c r="C29" s="157" t="s">
        <v>885</v>
      </c>
      <c r="D29" s="161" t="s">
        <v>202</v>
      </c>
      <c r="E29" s="161">
        <v>200</v>
      </c>
      <c r="F29" s="161" t="s">
        <v>645</v>
      </c>
      <c r="G29" s="162">
        <v>1500</v>
      </c>
      <c r="H29" s="161"/>
    </row>
    <row r="30" spans="1:8" ht="15" customHeight="1" x14ac:dyDescent="0.25">
      <c r="A30" s="185" t="s">
        <v>898</v>
      </c>
      <c r="B30" s="194" t="s">
        <v>902</v>
      </c>
      <c r="C30" s="195" t="s">
        <v>885</v>
      </c>
      <c r="D30" s="196" t="s">
        <v>202</v>
      </c>
      <c r="E30" s="196">
        <v>198</v>
      </c>
      <c r="F30" s="196" t="s">
        <v>645</v>
      </c>
      <c r="G30" s="169"/>
      <c r="H30" s="196"/>
    </row>
    <row r="31" spans="1:8" ht="15" customHeight="1" x14ac:dyDescent="0.25">
      <c r="A31" s="185" t="s">
        <v>899</v>
      </c>
      <c r="B31" s="194" t="s">
        <v>901</v>
      </c>
      <c r="C31" s="195" t="s">
        <v>885</v>
      </c>
      <c r="D31" s="196" t="s">
        <v>202</v>
      </c>
      <c r="E31" s="196">
        <v>199</v>
      </c>
      <c r="F31" s="196" t="s">
        <v>645</v>
      </c>
      <c r="G31" s="169"/>
      <c r="H31" s="196"/>
    </row>
    <row r="32" spans="1:8" ht="15" customHeight="1" x14ac:dyDescent="0.25">
      <c r="A32" s="1" t="s">
        <v>886</v>
      </c>
      <c r="B32" s="165" t="s">
        <v>887</v>
      </c>
      <c r="C32" s="157" t="s">
        <v>885</v>
      </c>
      <c r="D32" s="161" t="s">
        <v>202</v>
      </c>
      <c r="E32" s="161">
        <v>200</v>
      </c>
      <c r="F32" s="161" t="s">
        <v>645</v>
      </c>
      <c r="G32" s="162">
        <f>3000*1.1</f>
        <v>3300.0000000000005</v>
      </c>
      <c r="H32" s="161"/>
    </row>
    <row r="33" spans="1:35" ht="15" customHeight="1" x14ac:dyDescent="0.25">
      <c r="A33" s="1" t="s">
        <v>888</v>
      </c>
      <c r="B33" s="165" t="s">
        <v>889</v>
      </c>
      <c r="C33" s="157" t="s">
        <v>885</v>
      </c>
      <c r="D33" s="161" t="s">
        <v>202</v>
      </c>
      <c r="E33" s="161">
        <v>200</v>
      </c>
      <c r="F33" s="161" t="s">
        <v>645</v>
      </c>
      <c r="G33" s="162">
        <v>3000</v>
      </c>
      <c r="H33" s="161"/>
    </row>
    <row r="34" spans="1:35" ht="15" customHeight="1" x14ac:dyDescent="0.25">
      <c r="A34" s="1" t="s">
        <v>890</v>
      </c>
      <c r="B34" s="165" t="s">
        <v>891</v>
      </c>
      <c r="C34" s="157" t="s">
        <v>885</v>
      </c>
      <c r="D34" s="161" t="s">
        <v>202</v>
      </c>
      <c r="E34" s="161">
        <v>200</v>
      </c>
      <c r="F34" s="161" t="s">
        <v>645</v>
      </c>
      <c r="G34" s="162">
        <v>2700</v>
      </c>
      <c r="H34" s="161"/>
    </row>
    <row r="35" spans="1:35" ht="15" customHeight="1" x14ac:dyDescent="0.25">
      <c r="A35" s="1" t="s">
        <v>892</v>
      </c>
      <c r="B35" s="165" t="s">
        <v>893</v>
      </c>
      <c r="C35" s="157" t="s">
        <v>885</v>
      </c>
      <c r="D35" s="161" t="s">
        <v>202</v>
      </c>
      <c r="E35" s="161">
        <v>200</v>
      </c>
      <c r="F35" s="161" t="s">
        <v>645</v>
      </c>
      <c r="G35" s="162">
        <v>800</v>
      </c>
      <c r="H35" s="161"/>
    </row>
    <row r="36" spans="1:35" ht="15" customHeight="1" x14ac:dyDescent="0.25">
      <c r="A36" s="1" t="s">
        <v>894</v>
      </c>
      <c r="B36" s="165" t="s">
        <v>895</v>
      </c>
      <c r="C36" s="157" t="s">
        <v>885</v>
      </c>
      <c r="D36" s="161" t="s">
        <v>896</v>
      </c>
      <c r="E36" s="161">
        <v>1</v>
      </c>
      <c r="F36" s="161" t="s">
        <v>975</v>
      </c>
      <c r="G36" s="162">
        <v>4</v>
      </c>
      <c r="H36" s="161"/>
    </row>
    <row r="37" spans="1:35" ht="15" customHeight="1" x14ac:dyDescent="0.25">
      <c r="A37" s="1" t="s">
        <v>527</v>
      </c>
      <c r="B37" s="165" t="s">
        <v>394</v>
      </c>
      <c r="C37" s="157" t="s">
        <v>440</v>
      </c>
      <c r="D37" s="161" t="s">
        <v>189</v>
      </c>
      <c r="E37" s="161">
        <v>145</v>
      </c>
      <c r="F37" s="161" t="s">
        <v>472</v>
      </c>
      <c r="G37" s="162">
        <v>252.74359827070171</v>
      </c>
      <c r="H37" s="161" t="s">
        <v>190</v>
      </c>
      <c r="K37" t="s">
        <v>384</v>
      </c>
    </row>
    <row r="38" spans="1:35" ht="15" customHeight="1" x14ac:dyDescent="0.25">
      <c r="A38" s="1" t="s">
        <v>528</v>
      </c>
      <c r="B38" s="165" t="s">
        <v>395</v>
      </c>
      <c r="C38" s="157" t="s">
        <v>440</v>
      </c>
      <c r="D38" s="161" t="s">
        <v>189</v>
      </c>
      <c r="E38" s="161">
        <v>140</v>
      </c>
      <c r="F38" s="161" t="s">
        <v>645</v>
      </c>
      <c r="G38" s="162">
        <v>186.2321250415697</v>
      </c>
      <c r="H38" s="161" t="s">
        <v>190</v>
      </c>
      <c r="K38" t="s">
        <v>384</v>
      </c>
    </row>
    <row r="39" spans="1:35" ht="15" customHeight="1" x14ac:dyDescent="0.25">
      <c r="A39" s="1" t="s">
        <v>529</v>
      </c>
      <c r="B39" s="165" t="s">
        <v>389</v>
      </c>
      <c r="C39" s="157" t="s">
        <v>441</v>
      </c>
      <c r="D39" s="161" t="s">
        <v>189</v>
      </c>
      <c r="E39" s="161">
        <v>38</v>
      </c>
      <c r="F39" s="161" t="s">
        <v>472</v>
      </c>
      <c r="G39" s="162">
        <v>419.0222813435318</v>
      </c>
      <c r="H39" s="161" t="s">
        <v>190</v>
      </c>
      <c r="K39" t="s">
        <v>384</v>
      </c>
    </row>
    <row r="40" spans="1:35" ht="15" customHeight="1" x14ac:dyDescent="0.25">
      <c r="A40" s="1" t="s">
        <v>530</v>
      </c>
      <c r="B40" s="165" t="s">
        <v>502</v>
      </c>
      <c r="C40" s="157" t="s">
        <v>440</v>
      </c>
      <c r="D40" s="161" t="s">
        <v>189</v>
      </c>
      <c r="E40" s="161">
        <v>90</v>
      </c>
      <c r="F40" s="161" t="s">
        <v>645</v>
      </c>
      <c r="G40" s="162">
        <v>110</v>
      </c>
      <c r="H40" s="161" t="s">
        <v>190</v>
      </c>
    </row>
    <row r="41" spans="1:35" ht="15" customHeight="1" x14ac:dyDescent="0.25">
      <c r="A41" s="1" t="s">
        <v>531</v>
      </c>
      <c r="B41" s="165" t="s">
        <v>503</v>
      </c>
      <c r="C41" s="157" t="s">
        <v>440</v>
      </c>
      <c r="D41" s="161" t="s">
        <v>189</v>
      </c>
      <c r="E41" s="161">
        <v>90</v>
      </c>
      <c r="F41" s="161" t="s">
        <v>472</v>
      </c>
      <c r="G41" s="162">
        <v>110</v>
      </c>
      <c r="H41" s="161" t="s">
        <v>305</v>
      </c>
    </row>
    <row r="42" spans="1:35" ht="15" customHeight="1" x14ac:dyDescent="0.25">
      <c r="A42" s="1" t="s">
        <v>532</v>
      </c>
      <c r="B42" s="165" t="s">
        <v>283</v>
      </c>
      <c r="C42" s="157" t="s">
        <v>446</v>
      </c>
      <c r="D42" s="161" t="s">
        <v>189</v>
      </c>
      <c r="E42" s="161">
        <v>3</v>
      </c>
      <c r="F42" s="161" t="s">
        <v>645</v>
      </c>
      <c r="G42" s="162">
        <v>18</v>
      </c>
      <c r="H42" s="161" t="s">
        <v>305</v>
      </c>
    </row>
    <row r="43" spans="1:35" ht="15" customHeight="1" x14ac:dyDescent="0.25">
      <c r="A43" s="1" t="s">
        <v>533</v>
      </c>
      <c r="B43" s="165" t="s">
        <v>282</v>
      </c>
      <c r="C43" s="157" t="s">
        <v>446</v>
      </c>
      <c r="D43" s="161" t="s">
        <v>189</v>
      </c>
      <c r="E43" s="161">
        <v>4</v>
      </c>
      <c r="F43" s="161" t="s">
        <v>485</v>
      </c>
      <c r="G43" s="162">
        <v>44</v>
      </c>
      <c r="H43" s="161" t="s">
        <v>305</v>
      </c>
    </row>
    <row r="44" spans="1:35" ht="15" customHeight="1" x14ac:dyDescent="0.25">
      <c r="A44" s="1" t="s">
        <v>534</v>
      </c>
      <c r="B44" s="165" t="s">
        <v>284</v>
      </c>
      <c r="C44" s="157" t="s">
        <v>446</v>
      </c>
      <c r="D44" s="161" t="s">
        <v>189</v>
      </c>
      <c r="E44" s="161">
        <v>2</v>
      </c>
      <c r="F44" s="161" t="s">
        <v>485</v>
      </c>
      <c r="G44" s="162">
        <v>6.8</v>
      </c>
      <c r="H44" s="161" t="s">
        <v>305</v>
      </c>
    </row>
    <row r="45" spans="1:35" ht="15" customHeight="1" x14ac:dyDescent="0.25">
      <c r="A45" s="1" t="s">
        <v>535</v>
      </c>
      <c r="B45" s="165" t="s">
        <v>703</v>
      </c>
      <c r="C45" s="157" t="s">
        <v>439</v>
      </c>
      <c r="D45" s="161" t="s">
        <v>189</v>
      </c>
      <c r="E45" s="161">
        <v>180</v>
      </c>
      <c r="F45" s="161" t="s">
        <v>485</v>
      </c>
      <c r="G45" s="162">
        <v>1020</v>
      </c>
      <c r="H45" s="161" t="s">
        <v>190</v>
      </c>
      <c r="J45" s="223" t="s">
        <v>448</v>
      </c>
    </row>
    <row r="46" spans="1:35" ht="15" customHeight="1" x14ac:dyDescent="0.25">
      <c r="A46" s="1" t="s">
        <v>536</v>
      </c>
      <c r="B46" s="165" t="s">
        <v>704</v>
      </c>
      <c r="C46" s="157" t="s">
        <v>439</v>
      </c>
      <c r="D46" s="161" t="s">
        <v>189</v>
      </c>
      <c r="E46" s="161">
        <v>240</v>
      </c>
      <c r="F46" s="161" t="s">
        <v>485</v>
      </c>
      <c r="G46" s="162">
        <v>1079</v>
      </c>
      <c r="H46" s="161" t="s">
        <v>190</v>
      </c>
      <c r="J46" s="174" t="s">
        <v>438</v>
      </c>
    </row>
    <row r="47" spans="1:35" ht="15" customHeight="1" x14ac:dyDescent="0.25">
      <c r="A47" s="1" t="s">
        <v>537</v>
      </c>
      <c r="B47" s="165" t="s">
        <v>403</v>
      </c>
      <c r="C47" s="157" t="s">
        <v>439</v>
      </c>
      <c r="D47" s="161" t="s">
        <v>189</v>
      </c>
      <c r="E47" s="161">
        <v>320</v>
      </c>
      <c r="F47" s="161" t="s">
        <v>485</v>
      </c>
      <c r="G47" s="162">
        <v>1000</v>
      </c>
      <c r="H47" s="161" t="s">
        <v>190</v>
      </c>
      <c r="J47" s="174" t="s">
        <v>439</v>
      </c>
    </row>
    <row r="48" spans="1:35" ht="15" customHeight="1" x14ac:dyDescent="0.25">
      <c r="A48" s="1" t="s">
        <v>538</v>
      </c>
      <c r="B48" s="165" t="s">
        <v>404</v>
      </c>
      <c r="C48" s="157" t="s">
        <v>439</v>
      </c>
      <c r="D48" s="161" t="s">
        <v>189</v>
      </c>
      <c r="E48" s="161">
        <v>380</v>
      </c>
      <c r="F48" s="161" t="s">
        <v>485</v>
      </c>
      <c r="G48" s="181">
        <v>1070</v>
      </c>
      <c r="H48" s="161" t="s">
        <v>190</v>
      </c>
      <c r="J48" s="174" t="s">
        <v>440</v>
      </c>
      <c r="Y48" t="s">
        <v>651</v>
      </c>
      <c r="Z48" t="s">
        <v>652</v>
      </c>
      <c r="AA48" t="s">
        <v>653</v>
      </c>
      <c r="AB48" t="s">
        <v>654</v>
      </c>
      <c r="AC48" t="s">
        <v>655</v>
      </c>
      <c r="AD48" t="s">
        <v>777</v>
      </c>
      <c r="AE48" t="s">
        <v>776</v>
      </c>
      <c r="AG48" t="s">
        <v>774</v>
      </c>
      <c r="AH48" t="s">
        <v>775</v>
      </c>
      <c r="AI48" t="s">
        <v>773</v>
      </c>
    </row>
    <row r="49" spans="1:35" ht="15" customHeight="1" x14ac:dyDescent="0.25">
      <c r="A49" s="1" t="s">
        <v>539</v>
      </c>
      <c r="B49" s="166" t="s">
        <v>405</v>
      </c>
      <c r="C49" s="157" t="s">
        <v>443</v>
      </c>
      <c r="D49" s="161" t="s">
        <v>189</v>
      </c>
      <c r="E49" s="161">
        <v>0.5</v>
      </c>
      <c r="F49" s="161" t="s">
        <v>645</v>
      </c>
      <c r="G49" s="181">
        <v>0.6</v>
      </c>
      <c r="H49" s="161"/>
      <c r="J49" s="174" t="s">
        <v>441</v>
      </c>
      <c r="Y49" t="s">
        <v>705</v>
      </c>
      <c r="Z49" t="s">
        <v>656</v>
      </c>
      <c r="AA49" t="s">
        <v>657</v>
      </c>
      <c r="AB49" t="s">
        <v>658</v>
      </c>
      <c r="AC49">
        <v>0.94874999999999998</v>
      </c>
      <c r="AD49" s="166" t="s">
        <v>405</v>
      </c>
      <c r="AE49" t="s">
        <v>762</v>
      </c>
      <c r="AF49" s="200">
        <v>0.86020000000000008</v>
      </c>
      <c r="AG49" s="181">
        <v>0.6</v>
      </c>
      <c r="AH49">
        <f>+AF49/1.1</f>
        <v>0.78200000000000003</v>
      </c>
      <c r="AI49" s="201">
        <f>+AH49/AG49</f>
        <v>1.3033333333333335</v>
      </c>
    </row>
    <row r="50" spans="1:35" ht="15" customHeight="1" x14ac:dyDescent="0.25">
      <c r="A50" s="1" t="s">
        <v>540</v>
      </c>
      <c r="B50" s="165" t="s">
        <v>406</v>
      </c>
      <c r="C50" s="157" t="s">
        <v>443</v>
      </c>
      <c r="D50" s="161" t="s">
        <v>189</v>
      </c>
      <c r="E50" s="161">
        <v>0.65</v>
      </c>
      <c r="F50" s="161" t="s">
        <v>645</v>
      </c>
      <c r="G50" s="181">
        <v>0.9</v>
      </c>
      <c r="H50" s="161"/>
      <c r="J50" s="174" t="s">
        <v>442</v>
      </c>
      <c r="Y50" t="s">
        <v>706</v>
      </c>
      <c r="Z50" t="s">
        <v>659</v>
      </c>
      <c r="AA50" t="s">
        <v>657</v>
      </c>
      <c r="AB50" t="s">
        <v>658</v>
      </c>
      <c r="AC50">
        <v>0.99934999999999996</v>
      </c>
      <c r="AD50" s="165" t="s">
        <v>406</v>
      </c>
      <c r="AE50" t="s">
        <v>763</v>
      </c>
      <c r="AF50" s="200">
        <v>0.99935000000000007</v>
      </c>
      <c r="AG50" s="181">
        <v>0.9</v>
      </c>
      <c r="AH50">
        <f t="shared" ref="AH50:AH98" si="0">+AF50/1.1</f>
        <v>0.90849999999999997</v>
      </c>
      <c r="AI50" s="201">
        <f t="shared" ref="AI50:AI98" si="1">+AH50/AG50</f>
        <v>1.0094444444444444</v>
      </c>
    </row>
    <row r="51" spans="1:35" ht="15" customHeight="1" x14ac:dyDescent="0.25">
      <c r="A51" s="1" t="s">
        <v>541</v>
      </c>
      <c r="B51" s="165" t="s">
        <v>237</v>
      </c>
      <c r="C51" s="157" t="s">
        <v>443</v>
      </c>
      <c r="D51" s="161" t="s">
        <v>189</v>
      </c>
      <c r="E51" s="161">
        <v>0.11</v>
      </c>
      <c r="F51" s="161" t="s">
        <v>646</v>
      </c>
      <c r="G51" s="181">
        <v>0.28000000000000003</v>
      </c>
      <c r="H51" s="161"/>
      <c r="J51" s="174" t="s">
        <v>443</v>
      </c>
      <c r="Y51" t="s">
        <v>707</v>
      </c>
      <c r="Z51" t="s">
        <v>660</v>
      </c>
      <c r="AA51" t="s">
        <v>661</v>
      </c>
      <c r="AB51" t="s">
        <v>658</v>
      </c>
      <c r="AC51">
        <v>0.30359999999999998</v>
      </c>
      <c r="AD51" s="165" t="s">
        <v>237</v>
      </c>
      <c r="AE51" t="str">
        <f>+LOOKUP(A51,Y$49:Y$89,Z$49:Z$89)</f>
        <v>Interrupteur de fin de course</v>
      </c>
      <c r="AF51" s="200">
        <v>0.35420000000000001</v>
      </c>
      <c r="AG51" s="181">
        <v>0.28000000000000003</v>
      </c>
      <c r="AH51">
        <f t="shared" si="0"/>
        <v>0.32200000000000001</v>
      </c>
      <c r="AI51" s="201">
        <f t="shared" si="1"/>
        <v>1.1499999999999999</v>
      </c>
    </row>
    <row r="52" spans="1:35" ht="15" customHeight="1" x14ac:dyDescent="0.25">
      <c r="A52" s="1" t="s">
        <v>542</v>
      </c>
      <c r="B52" s="166" t="s">
        <v>238</v>
      </c>
      <c r="C52" s="157" t="s">
        <v>443</v>
      </c>
      <c r="D52" s="161" t="s">
        <v>189</v>
      </c>
      <c r="E52" s="161">
        <v>0.12</v>
      </c>
      <c r="F52" s="161" t="s">
        <v>646</v>
      </c>
      <c r="G52" s="181">
        <v>0.37</v>
      </c>
      <c r="H52" s="163" t="s">
        <v>306</v>
      </c>
      <c r="J52" s="174" t="s">
        <v>444</v>
      </c>
      <c r="Y52" t="s">
        <v>708</v>
      </c>
      <c r="Z52" t="s">
        <v>662</v>
      </c>
      <c r="AA52" t="s">
        <v>663</v>
      </c>
      <c r="AB52" t="s">
        <v>658</v>
      </c>
      <c r="AC52">
        <v>0.44274999999999998</v>
      </c>
      <c r="AD52" s="166" t="s">
        <v>238</v>
      </c>
      <c r="AE52" t="str">
        <f>+LOOKUP(A52,Y$49:Y$89,Z$49:Z$89)</f>
        <v>Interrupteur de fin de course</v>
      </c>
      <c r="AF52" s="200">
        <v>0.48069999999999996</v>
      </c>
      <c r="AG52" s="181">
        <v>0.37</v>
      </c>
      <c r="AH52">
        <f t="shared" si="0"/>
        <v>0.43699999999999994</v>
      </c>
      <c r="AI52" s="201">
        <f t="shared" si="1"/>
        <v>1.181081081081081</v>
      </c>
    </row>
    <row r="53" spans="1:35" ht="15" customHeight="1" x14ac:dyDescent="0.25">
      <c r="A53" s="1" t="s">
        <v>854</v>
      </c>
      <c r="B53" s="166" t="s">
        <v>918</v>
      </c>
      <c r="C53" s="157" t="s">
        <v>443</v>
      </c>
      <c r="D53" s="161" t="s">
        <v>202</v>
      </c>
      <c r="E53" s="161">
        <v>30</v>
      </c>
      <c r="F53" s="161" t="s">
        <v>646</v>
      </c>
      <c r="G53" s="181">
        <v>35</v>
      </c>
      <c r="H53" s="163"/>
      <c r="J53" s="174" t="s">
        <v>478</v>
      </c>
      <c r="Y53" t="s">
        <v>709</v>
      </c>
      <c r="Z53" t="s">
        <v>664</v>
      </c>
      <c r="AA53" t="s">
        <v>665</v>
      </c>
      <c r="AB53" t="s">
        <v>658</v>
      </c>
      <c r="AC53">
        <v>0.44274999999999998</v>
      </c>
      <c r="AD53" s="166" t="s">
        <v>497</v>
      </c>
      <c r="AF53" s="200"/>
      <c r="AG53" s="181"/>
      <c r="AH53">
        <f t="shared" si="0"/>
        <v>0</v>
      </c>
      <c r="AI53" s="201"/>
    </row>
    <row r="54" spans="1:35" ht="15" customHeight="1" x14ac:dyDescent="0.25">
      <c r="A54" s="1" t="s">
        <v>543</v>
      </c>
      <c r="B54" s="166" t="s">
        <v>422</v>
      </c>
      <c r="C54" s="157" t="s">
        <v>443</v>
      </c>
      <c r="D54" s="161" t="s">
        <v>189</v>
      </c>
      <c r="E54" s="161">
        <v>0.17</v>
      </c>
      <c r="F54" s="161" t="s">
        <v>646</v>
      </c>
      <c r="G54" s="181">
        <v>0.47</v>
      </c>
      <c r="H54" s="163" t="s">
        <v>306</v>
      </c>
      <c r="J54" s="174" t="s">
        <v>455</v>
      </c>
      <c r="Y54" t="s">
        <v>710</v>
      </c>
      <c r="Z54" t="s">
        <v>666</v>
      </c>
      <c r="AA54" t="s">
        <v>667</v>
      </c>
      <c r="AB54" t="s">
        <v>668</v>
      </c>
      <c r="AC54" t="s">
        <v>667</v>
      </c>
      <c r="AD54" s="166" t="s">
        <v>422</v>
      </c>
      <c r="AE54" t="str">
        <f>+LOOKUP(A54,Y$49:Y$89,Z$49:Z$89)</f>
        <v>Interrupteur de fin de course</v>
      </c>
      <c r="AF54" s="200">
        <v>0.61985000000000001</v>
      </c>
      <c r="AG54" s="181">
        <v>0.47</v>
      </c>
      <c r="AH54">
        <f t="shared" si="0"/>
        <v>0.5635</v>
      </c>
      <c r="AI54" s="201">
        <f t="shared" si="1"/>
        <v>1.1989361702127661</v>
      </c>
    </row>
    <row r="55" spans="1:35" ht="15" customHeight="1" x14ac:dyDescent="0.25">
      <c r="A55" s="1" t="s">
        <v>855</v>
      </c>
      <c r="B55" s="166" t="s">
        <v>919</v>
      </c>
      <c r="C55" s="157" t="s">
        <v>443</v>
      </c>
      <c r="D55" s="161" t="s">
        <v>202</v>
      </c>
      <c r="E55" s="161">
        <v>30</v>
      </c>
      <c r="F55" s="161" t="s">
        <v>646</v>
      </c>
      <c r="G55" s="181">
        <v>50</v>
      </c>
      <c r="H55" s="163" t="s">
        <v>306</v>
      </c>
      <c r="J55" s="174" t="s">
        <v>445</v>
      </c>
      <c r="Y55" t="s">
        <v>711</v>
      </c>
      <c r="Z55" t="s">
        <v>669</v>
      </c>
      <c r="AA55" t="s">
        <v>667</v>
      </c>
      <c r="AB55" t="s">
        <v>668</v>
      </c>
      <c r="AC55" t="s">
        <v>667</v>
      </c>
      <c r="AD55" s="166" t="s">
        <v>497</v>
      </c>
      <c r="AG55" s="181">
        <v>0.75</v>
      </c>
      <c r="AH55">
        <f t="shared" si="0"/>
        <v>0</v>
      </c>
      <c r="AI55" s="201"/>
    </row>
    <row r="56" spans="1:35" ht="15" customHeight="1" x14ac:dyDescent="0.25">
      <c r="A56" s="1" t="s">
        <v>856</v>
      </c>
      <c r="B56" s="199" t="s">
        <v>240</v>
      </c>
      <c r="C56" s="157" t="s">
        <v>443</v>
      </c>
      <c r="D56" s="161" t="s">
        <v>189</v>
      </c>
      <c r="E56" s="161">
        <v>0.02</v>
      </c>
      <c r="F56" s="161" t="s">
        <v>646</v>
      </c>
      <c r="G56" s="181">
        <v>7.0000000000000007E-2</v>
      </c>
      <c r="H56" s="161" t="s">
        <v>190</v>
      </c>
      <c r="J56" s="174" t="s">
        <v>446</v>
      </c>
      <c r="Y56" t="s">
        <v>712</v>
      </c>
      <c r="Z56" t="s">
        <v>670</v>
      </c>
      <c r="AA56" t="s">
        <v>667</v>
      </c>
      <c r="AB56" t="s">
        <v>668</v>
      </c>
      <c r="AC56" t="s">
        <v>667</v>
      </c>
      <c r="AD56" s="199" t="s">
        <v>240</v>
      </c>
      <c r="AE56" t="str">
        <f>+LOOKUP(A56,Y$49:Y$89,Z$49:Z$89)</f>
        <v>Interrupteur de fin de course</v>
      </c>
      <c r="AG56" s="181">
        <v>7.0000000000000007E-2</v>
      </c>
      <c r="AH56">
        <f t="shared" si="0"/>
        <v>0</v>
      </c>
      <c r="AI56" s="201"/>
    </row>
    <row r="57" spans="1:35" ht="15" customHeight="1" x14ac:dyDescent="0.25">
      <c r="A57" s="1" t="s">
        <v>857</v>
      </c>
      <c r="B57" s="165" t="s">
        <v>474</v>
      </c>
      <c r="C57" s="157" t="s">
        <v>443</v>
      </c>
      <c r="D57" s="161" t="s">
        <v>189</v>
      </c>
      <c r="E57" s="161">
        <v>0.04</v>
      </c>
      <c r="F57" s="161" t="s">
        <v>646</v>
      </c>
      <c r="G57" s="182">
        <v>0.18</v>
      </c>
      <c r="H57" s="161" t="s">
        <v>190</v>
      </c>
      <c r="I57" s="197"/>
      <c r="Y57" t="s">
        <v>713</v>
      </c>
      <c r="Z57" t="s">
        <v>671</v>
      </c>
      <c r="AA57" t="s">
        <v>667</v>
      </c>
      <c r="AB57" t="s">
        <v>668</v>
      </c>
      <c r="AC57" t="s">
        <v>667</v>
      </c>
      <c r="AD57" s="165" t="s">
        <v>474</v>
      </c>
      <c r="AE57" t="str">
        <f>+LOOKUP(A57,Y$49:Y$89,Z$49:Z$89)</f>
        <v>Interrupteur de fin de course</v>
      </c>
      <c r="AG57" s="182">
        <v>0.18</v>
      </c>
      <c r="AH57">
        <f t="shared" si="0"/>
        <v>0</v>
      </c>
      <c r="AI57" s="201"/>
    </row>
    <row r="58" spans="1:35" ht="15" customHeight="1" x14ac:dyDescent="0.25">
      <c r="A58" s="1" t="s">
        <v>858</v>
      </c>
      <c r="B58" s="165" t="s">
        <v>475</v>
      </c>
      <c r="C58" s="157" t="s">
        <v>443</v>
      </c>
      <c r="D58" s="161" t="s">
        <v>189</v>
      </c>
      <c r="E58" s="161">
        <v>0.05</v>
      </c>
      <c r="F58" s="161" t="s">
        <v>646</v>
      </c>
      <c r="G58" s="182">
        <v>0.2</v>
      </c>
      <c r="H58" s="161"/>
      <c r="Y58" t="s">
        <v>714</v>
      </c>
      <c r="Z58" t="s">
        <v>672</v>
      </c>
      <c r="AA58" t="s">
        <v>667</v>
      </c>
      <c r="AB58" t="s">
        <v>658</v>
      </c>
      <c r="AC58">
        <v>0.32890000000000003</v>
      </c>
      <c r="AD58" s="165" t="s">
        <v>475</v>
      </c>
      <c r="AE58" t="str">
        <f>+LOOKUP(A58,Y$49:Y$89,Z$49:Z$89)</f>
        <v>Interrupteur de fin de course</v>
      </c>
      <c r="AG58" s="182">
        <v>0.2</v>
      </c>
      <c r="AH58">
        <f t="shared" si="0"/>
        <v>0</v>
      </c>
      <c r="AI58" s="201"/>
    </row>
    <row r="59" spans="1:35" ht="15" customHeight="1" x14ac:dyDescent="0.25">
      <c r="A59" s="1" t="s">
        <v>859</v>
      </c>
      <c r="B59" s="165" t="s">
        <v>241</v>
      </c>
      <c r="C59" s="157" t="s">
        <v>443</v>
      </c>
      <c r="D59" s="161" t="s">
        <v>189</v>
      </c>
      <c r="E59" s="161"/>
      <c r="F59" s="161" t="s">
        <v>646</v>
      </c>
      <c r="G59" s="182">
        <v>0.3</v>
      </c>
      <c r="H59" s="161"/>
      <c r="Y59" t="s">
        <v>715</v>
      </c>
      <c r="Z59" t="s">
        <v>673</v>
      </c>
      <c r="AA59" t="s">
        <v>667</v>
      </c>
      <c r="AB59" t="s">
        <v>668</v>
      </c>
      <c r="AC59" t="s">
        <v>667</v>
      </c>
      <c r="AD59" s="165" t="s">
        <v>241</v>
      </c>
      <c r="AE59" t="str">
        <f>+LOOKUP(A59,Y$49:Y$89,Z$49:Z$89)</f>
        <v>Interrupteur de fin de course</v>
      </c>
      <c r="AG59" s="182">
        <v>0.3</v>
      </c>
      <c r="AH59">
        <f t="shared" si="0"/>
        <v>0</v>
      </c>
      <c r="AI59" s="201"/>
    </row>
    <row r="60" spans="1:35" ht="15" customHeight="1" x14ac:dyDescent="0.25">
      <c r="A60" s="1" t="s">
        <v>544</v>
      </c>
      <c r="B60" s="165" t="s">
        <v>242</v>
      </c>
      <c r="C60" s="157" t="s">
        <v>443</v>
      </c>
      <c r="D60" s="161" t="s">
        <v>189</v>
      </c>
      <c r="E60" s="161">
        <v>0.09</v>
      </c>
      <c r="F60" s="161" t="s">
        <v>646</v>
      </c>
      <c r="G60" s="181">
        <v>0.21</v>
      </c>
      <c r="H60" s="161"/>
      <c r="Y60" t="s">
        <v>716</v>
      </c>
      <c r="Z60" t="s">
        <v>674</v>
      </c>
      <c r="AA60" t="s">
        <v>667</v>
      </c>
      <c r="AB60" t="s">
        <v>668</v>
      </c>
      <c r="AC60" t="s">
        <v>667</v>
      </c>
      <c r="AD60" s="165" t="s">
        <v>242</v>
      </c>
      <c r="AE60" t="s">
        <v>761</v>
      </c>
      <c r="AF60" s="200">
        <v>0.29094999999999999</v>
      </c>
      <c r="AG60" s="181">
        <v>0.21</v>
      </c>
      <c r="AH60">
        <f t="shared" si="0"/>
        <v>0.26449999999999996</v>
      </c>
      <c r="AI60" s="201">
        <f t="shared" si="1"/>
        <v>1.2595238095238093</v>
      </c>
    </row>
    <row r="61" spans="1:35" ht="15" customHeight="1" x14ac:dyDescent="0.25">
      <c r="A61" s="1" t="s">
        <v>860</v>
      </c>
      <c r="B61" s="165" t="s">
        <v>248</v>
      </c>
      <c r="C61" s="157" t="s">
        <v>443</v>
      </c>
      <c r="D61" s="161" t="s">
        <v>189</v>
      </c>
      <c r="E61" s="161">
        <v>27</v>
      </c>
      <c r="F61" s="161" t="s">
        <v>645</v>
      </c>
      <c r="G61" s="181">
        <v>17.399999999999999</v>
      </c>
      <c r="H61" s="161"/>
      <c r="Y61" t="s">
        <v>717</v>
      </c>
      <c r="Z61" t="s">
        <v>675</v>
      </c>
      <c r="AA61" t="s">
        <v>667</v>
      </c>
      <c r="AB61" t="s">
        <v>668</v>
      </c>
      <c r="AC61" t="s">
        <v>667</v>
      </c>
      <c r="AD61" s="165" t="s">
        <v>248</v>
      </c>
      <c r="AE61" t="str">
        <f>+LOOKUP(A61,Y$49:Y$89,Z$49:Z$89)</f>
        <v>Interrupteur de fin de course</v>
      </c>
      <c r="AG61" s="181">
        <v>17.399999999999999</v>
      </c>
      <c r="AH61">
        <f t="shared" si="0"/>
        <v>0</v>
      </c>
      <c r="AI61" s="201">
        <f t="shared" si="1"/>
        <v>0</v>
      </c>
    </row>
    <row r="62" spans="1:35" ht="15" customHeight="1" x14ac:dyDescent="0.25">
      <c r="A62" s="1" t="s">
        <v>861</v>
      </c>
      <c r="B62" s="165" t="s">
        <v>247</v>
      </c>
      <c r="C62" s="157" t="s">
        <v>443</v>
      </c>
      <c r="D62" s="161" t="s">
        <v>189</v>
      </c>
      <c r="E62" s="161">
        <v>51</v>
      </c>
      <c r="F62" s="161" t="s">
        <v>645</v>
      </c>
      <c r="G62" s="181">
        <v>34.6</v>
      </c>
      <c r="H62" s="163" t="s">
        <v>306</v>
      </c>
      <c r="Y62" t="s">
        <v>718</v>
      </c>
      <c r="Z62" t="s">
        <v>676</v>
      </c>
      <c r="AA62" t="s">
        <v>667</v>
      </c>
      <c r="AB62" t="s">
        <v>668</v>
      </c>
      <c r="AC62" t="s">
        <v>667</v>
      </c>
      <c r="AD62" s="165" t="s">
        <v>247</v>
      </c>
      <c r="AE62" t="str">
        <f>+LOOKUP(A62,Y$49:Y$89,Z$49:Z$89)</f>
        <v>Interrupteur de fin de course</v>
      </c>
      <c r="AG62" s="181">
        <v>34.6</v>
      </c>
      <c r="AH62">
        <f t="shared" si="0"/>
        <v>0</v>
      </c>
      <c r="AI62" s="201">
        <f t="shared" si="1"/>
        <v>0</v>
      </c>
    </row>
    <row r="63" spans="1:35" ht="15" customHeight="1" x14ac:dyDescent="0.25">
      <c r="A63" s="1" t="s">
        <v>862</v>
      </c>
      <c r="B63" s="165" t="s">
        <v>433</v>
      </c>
      <c r="C63" s="157" t="s">
        <v>443</v>
      </c>
      <c r="D63" s="161" t="s">
        <v>202</v>
      </c>
      <c r="E63" s="161">
        <v>0.36</v>
      </c>
      <c r="F63" s="161" t="s">
        <v>645</v>
      </c>
      <c r="G63" s="181">
        <v>52</v>
      </c>
      <c r="H63" s="163" t="s">
        <v>306</v>
      </c>
      <c r="Y63" t="s">
        <v>719</v>
      </c>
      <c r="Z63" t="s">
        <v>677</v>
      </c>
      <c r="AA63" t="s">
        <v>667</v>
      </c>
      <c r="AB63" t="s">
        <v>678</v>
      </c>
      <c r="AC63">
        <v>1.1385000000000001</v>
      </c>
      <c r="AD63" s="165" t="s">
        <v>433</v>
      </c>
      <c r="AE63" t="str">
        <f>+LOOKUP(A63,Y$49:Y$89,Z$49:Z$89)</f>
        <v>Interrupteur de fin de course</v>
      </c>
      <c r="AG63" s="181">
        <v>52</v>
      </c>
      <c r="AH63">
        <f t="shared" si="0"/>
        <v>0</v>
      </c>
      <c r="AI63" s="201">
        <f t="shared" si="1"/>
        <v>0</v>
      </c>
    </row>
    <row r="64" spans="1:35" ht="15" customHeight="1" x14ac:dyDescent="0.25">
      <c r="A64" s="1" t="s">
        <v>863</v>
      </c>
      <c r="B64" s="165" t="s">
        <v>647</v>
      </c>
      <c r="C64" s="157" t="s">
        <v>443</v>
      </c>
      <c r="D64" s="161" t="s">
        <v>189</v>
      </c>
      <c r="E64" s="161"/>
      <c r="F64" s="161" t="s">
        <v>645</v>
      </c>
      <c r="G64" s="181">
        <v>65</v>
      </c>
      <c r="H64" s="163"/>
      <c r="Y64" t="s">
        <v>720</v>
      </c>
      <c r="Z64" t="s">
        <v>679</v>
      </c>
      <c r="AA64" t="s">
        <v>667</v>
      </c>
      <c r="AB64" t="s">
        <v>668</v>
      </c>
      <c r="AC64">
        <v>1.0373000000000001</v>
      </c>
      <c r="AD64" s="165" t="s">
        <v>647</v>
      </c>
      <c r="AE64" t="str">
        <f>+LOOKUP(A64,Y$49:Y$89,Z$49:Z$89)</f>
        <v>Interrupteur de fin de course</v>
      </c>
      <c r="AG64" s="181">
        <v>65</v>
      </c>
      <c r="AH64">
        <f t="shared" si="0"/>
        <v>0</v>
      </c>
      <c r="AI64" s="201">
        <f t="shared" si="1"/>
        <v>0</v>
      </c>
    </row>
    <row r="65" spans="1:38" ht="15" customHeight="1" x14ac:dyDescent="0.25">
      <c r="A65" s="1" t="s">
        <v>545</v>
      </c>
      <c r="B65" s="165" t="s">
        <v>648</v>
      </c>
      <c r="C65" s="157" t="s">
        <v>443</v>
      </c>
      <c r="D65" s="161" t="s">
        <v>202</v>
      </c>
      <c r="E65" s="161">
        <v>0.14000000000000001</v>
      </c>
      <c r="F65" s="161" t="s">
        <v>485</v>
      </c>
      <c r="G65" s="181">
        <v>0.5</v>
      </c>
      <c r="H65" s="161" t="s">
        <v>190</v>
      </c>
      <c r="Y65" t="s">
        <v>721</v>
      </c>
      <c r="Z65" t="s">
        <v>722</v>
      </c>
      <c r="AA65" t="s">
        <v>667</v>
      </c>
      <c r="AB65" t="s">
        <v>668</v>
      </c>
      <c r="AC65">
        <v>0.82225000000000004</v>
      </c>
      <c r="AD65" s="165" t="s">
        <v>648</v>
      </c>
      <c r="AE65" t="s">
        <v>772</v>
      </c>
      <c r="AF65" s="200">
        <v>0.75900000000000001</v>
      </c>
      <c r="AG65" s="181">
        <v>0.5</v>
      </c>
      <c r="AH65">
        <f t="shared" si="0"/>
        <v>0.69</v>
      </c>
      <c r="AI65" s="201">
        <f t="shared" si="1"/>
        <v>1.38</v>
      </c>
    </row>
    <row r="66" spans="1:38" ht="15" customHeight="1" x14ac:dyDescent="0.25">
      <c r="A66" s="1" t="s">
        <v>546</v>
      </c>
      <c r="B66" s="165" t="s">
        <v>432</v>
      </c>
      <c r="C66" s="157" t="s">
        <v>444</v>
      </c>
      <c r="D66" s="161" t="s">
        <v>208</v>
      </c>
      <c r="E66" s="161">
        <v>0.4</v>
      </c>
      <c r="F66" s="161" t="s">
        <v>645</v>
      </c>
      <c r="G66" s="181">
        <v>0.92</v>
      </c>
      <c r="H66" s="161" t="s">
        <v>190</v>
      </c>
      <c r="Y66" t="s">
        <v>723</v>
      </c>
      <c r="Z66" t="s">
        <v>680</v>
      </c>
      <c r="AA66" t="s">
        <v>667</v>
      </c>
      <c r="AB66" t="s">
        <v>668</v>
      </c>
      <c r="AC66">
        <v>0.31624999999999998</v>
      </c>
      <c r="AD66" s="165" t="s">
        <v>432</v>
      </c>
      <c r="AE66" t="str">
        <f t="shared" ref="AE66:AE73" si="2">+LOOKUP(A66,Y$49:Y$89,Z$49:Z$89)</f>
        <v>Interrupteur de fin de course</v>
      </c>
      <c r="AF66" s="200">
        <f>IF(AE66&lt;&gt;"",LOOKUP(A66,Y$49:Y$89,AC$49:AC$89),"")</f>
        <v>2.7829999999999999</v>
      </c>
      <c r="AG66" s="181">
        <v>0.92</v>
      </c>
      <c r="AH66">
        <f t="shared" si="0"/>
        <v>2.5299999999999998</v>
      </c>
      <c r="AI66" s="201">
        <f t="shared" si="1"/>
        <v>2.7499999999999996</v>
      </c>
    </row>
    <row r="67" spans="1:38" ht="15" customHeight="1" x14ac:dyDescent="0.25">
      <c r="A67" s="1" t="s">
        <v>547</v>
      </c>
      <c r="B67" s="165" t="s">
        <v>724</v>
      </c>
      <c r="C67" s="157" t="s">
        <v>444</v>
      </c>
      <c r="D67" s="161" t="s">
        <v>208</v>
      </c>
      <c r="E67" s="161"/>
      <c r="G67" s="162">
        <v>0.87</v>
      </c>
      <c r="H67" s="161" t="s">
        <v>190</v>
      </c>
      <c r="Y67" t="s">
        <v>725</v>
      </c>
      <c r="Z67" t="s">
        <v>681</v>
      </c>
      <c r="AA67" t="s">
        <v>667</v>
      </c>
      <c r="AB67" t="s">
        <v>668</v>
      </c>
      <c r="AC67" t="s">
        <v>667</v>
      </c>
      <c r="AD67" s="165" t="s">
        <v>724</v>
      </c>
      <c r="AE67" t="str">
        <f t="shared" si="2"/>
        <v>Interrupteur de fin de course</v>
      </c>
      <c r="AF67" s="200">
        <f>IF(AE67&lt;&gt;"",LOOKUP(A67,Y$49:Y$89,AC$49:AC$89),"")</f>
        <v>2.7829999999999999</v>
      </c>
      <c r="AG67" s="162">
        <v>0.87</v>
      </c>
      <c r="AH67">
        <f t="shared" si="0"/>
        <v>2.5299999999999998</v>
      </c>
      <c r="AI67" s="201">
        <f t="shared" si="1"/>
        <v>2.9080459770114939</v>
      </c>
    </row>
    <row r="68" spans="1:38" ht="15" customHeight="1" x14ac:dyDescent="0.25">
      <c r="A68" s="1" t="s">
        <v>548</v>
      </c>
      <c r="B68" s="165" t="s">
        <v>477</v>
      </c>
      <c r="C68" s="157" t="s">
        <v>444</v>
      </c>
      <c r="D68" s="161"/>
      <c r="E68" s="161">
        <v>0.22</v>
      </c>
      <c r="F68" s="161" t="s">
        <v>645</v>
      </c>
      <c r="G68" s="181">
        <v>0.28000000000000003</v>
      </c>
      <c r="H68" s="161"/>
      <c r="Y68" t="s">
        <v>726</v>
      </c>
      <c r="Z68" t="s">
        <v>727</v>
      </c>
      <c r="AA68" t="s">
        <v>667</v>
      </c>
      <c r="AB68" t="s">
        <v>668</v>
      </c>
      <c r="AC68" t="s">
        <v>667</v>
      </c>
      <c r="AD68" s="165" t="s">
        <v>477</v>
      </c>
      <c r="AE68" t="str">
        <f t="shared" si="2"/>
        <v>Interrupteur de fin de course</v>
      </c>
      <c r="AF68" s="200">
        <f>IF(AE68&lt;&gt;"",LOOKUP(A68,Y$49:Y$89,AC$49:AC$89),"")</f>
        <v>2.7829999999999999</v>
      </c>
      <c r="AG68" s="181">
        <v>0.28000000000000003</v>
      </c>
      <c r="AH68">
        <f t="shared" si="0"/>
        <v>2.5299999999999998</v>
      </c>
      <c r="AI68" s="201">
        <f t="shared" si="1"/>
        <v>9.0357142857142847</v>
      </c>
    </row>
    <row r="69" spans="1:38" ht="15" customHeight="1" x14ac:dyDescent="0.25">
      <c r="A69" s="1" t="s">
        <v>864</v>
      </c>
      <c r="B69" s="165" t="s">
        <v>407</v>
      </c>
      <c r="C69" s="157" t="s">
        <v>444</v>
      </c>
      <c r="D69" s="161" t="s">
        <v>189</v>
      </c>
      <c r="E69" s="161">
        <v>1.0900000000000001</v>
      </c>
      <c r="F69" s="161" t="s">
        <v>646</v>
      </c>
      <c r="G69" s="162">
        <v>2.15</v>
      </c>
      <c r="H69" s="161" t="s">
        <v>190</v>
      </c>
      <c r="Y69" t="s">
        <v>728</v>
      </c>
      <c r="Z69" t="s">
        <v>682</v>
      </c>
      <c r="AA69" t="s">
        <v>667</v>
      </c>
      <c r="AB69" t="s">
        <v>658</v>
      </c>
      <c r="AC69">
        <v>0.26565</v>
      </c>
      <c r="AD69" s="165" t="s">
        <v>407</v>
      </c>
      <c r="AE69" t="str">
        <f t="shared" si="2"/>
        <v>Interrupteur de fin de course</v>
      </c>
      <c r="AG69" s="162">
        <v>2.15</v>
      </c>
      <c r="AH69">
        <f t="shared" si="0"/>
        <v>0</v>
      </c>
      <c r="AI69" s="201">
        <f t="shared" si="1"/>
        <v>0</v>
      </c>
    </row>
    <row r="70" spans="1:38" ht="15" customHeight="1" x14ac:dyDescent="0.25">
      <c r="A70" s="1" t="s">
        <v>865</v>
      </c>
      <c r="B70" s="165" t="s">
        <v>729</v>
      </c>
      <c r="C70" s="157" t="s">
        <v>444</v>
      </c>
      <c r="D70" s="161" t="s">
        <v>189</v>
      </c>
      <c r="E70" s="161"/>
      <c r="F70" s="161" t="s">
        <v>646</v>
      </c>
      <c r="G70" s="181">
        <v>2.15</v>
      </c>
      <c r="H70" s="161" t="s">
        <v>190</v>
      </c>
      <c r="Y70" t="s">
        <v>730</v>
      </c>
      <c r="Z70" t="s">
        <v>731</v>
      </c>
      <c r="AA70" t="s">
        <v>667</v>
      </c>
      <c r="AB70" t="s">
        <v>658</v>
      </c>
      <c r="AC70">
        <v>0.15179999999999999</v>
      </c>
      <c r="AD70" s="165" t="s">
        <v>729</v>
      </c>
      <c r="AE70" t="str">
        <f t="shared" si="2"/>
        <v>Interrupteur de fin de course</v>
      </c>
      <c r="AG70" s="181">
        <v>2.15</v>
      </c>
      <c r="AH70">
        <f t="shared" si="0"/>
        <v>0</v>
      </c>
      <c r="AI70" s="201">
        <f t="shared" si="1"/>
        <v>0</v>
      </c>
    </row>
    <row r="71" spans="1:38" ht="15" customHeight="1" x14ac:dyDescent="0.25">
      <c r="A71" s="1" t="s">
        <v>549</v>
      </c>
      <c r="B71" s="165" t="s">
        <v>479</v>
      </c>
      <c r="C71" s="157" t="s">
        <v>444</v>
      </c>
      <c r="D71" s="161" t="s">
        <v>189</v>
      </c>
      <c r="E71" s="161">
        <v>7.0000000000000007E-2</v>
      </c>
      <c r="F71" s="161" t="s">
        <v>646</v>
      </c>
      <c r="G71" s="181">
        <v>0.2</v>
      </c>
      <c r="H71" s="161" t="s">
        <v>190</v>
      </c>
      <c r="Y71" t="s">
        <v>732</v>
      </c>
      <c r="Z71" t="s">
        <v>683</v>
      </c>
      <c r="AA71" t="s">
        <v>667</v>
      </c>
      <c r="AB71" t="s">
        <v>658</v>
      </c>
      <c r="AC71">
        <v>8.8550000000000004E-2</v>
      </c>
      <c r="AD71" s="165" t="s">
        <v>479</v>
      </c>
      <c r="AE71" t="str">
        <f t="shared" si="2"/>
        <v>Interrupteur de fin de course</v>
      </c>
      <c r="AF71" s="200">
        <f>IF(AE71&lt;&gt;"",LOOKUP(A71,Y$49:Y$89,AC$49:AC$89),"")</f>
        <v>2.7829999999999999</v>
      </c>
      <c r="AG71" s="181">
        <v>0.2</v>
      </c>
      <c r="AH71">
        <f t="shared" si="0"/>
        <v>2.5299999999999998</v>
      </c>
      <c r="AI71" s="201">
        <f t="shared" si="1"/>
        <v>12.649999999999999</v>
      </c>
    </row>
    <row r="72" spans="1:38" ht="15" customHeight="1" x14ac:dyDescent="0.25">
      <c r="A72" s="1" t="s">
        <v>550</v>
      </c>
      <c r="B72" s="165" t="s">
        <v>733</v>
      </c>
      <c r="C72" s="157" t="s">
        <v>444</v>
      </c>
      <c r="D72" s="161"/>
      <c r="E72" s="161"/>
      <c r="F72" s="161" t="s">
        <v>646</v>
      </c>
      <c r="G72" s="181">
        <v>0.15</v>
      </c>
      <c r="H72" s="161" t="s">
        <v>190</v>
      </c>
      <c r="Y72" t="s">
        <v>734</v>
      </c>
      <c r="Z72" t="s">
        <v>684</v>
      </c>
      <c r="AA72" t="s">
        <v>735</v>
      </c>
      <c r="AB72" t="s">
        <v>668</v>
      </c>
      <c r="AC72">
        <v>4.4275000000000002</v>
      </c>
      <c r="AD72" s="165" t="s">
        <v>733</v>
      </c>
      <c r="AE72" t="str">
        <f t="shared" si="2"/>
        <v>Interrupteur de fin de course</v>
      </c>
      <c r="AF72" s="200">
        <f>IF(AE72&lt;&gt;"",LOOKUP(A72,Y$49:Y$89,AC$49:AC$89),"")</f>
        <v>2.7829999999999999</v>
      </c>
      <c r="AG72" s="181">
        <v>0.15</v>
      </c>
      <c r="AH72">
        <f t="shared" si="0"/>
        <v>2.5299999999999998</v>
      </c>
      <c r="AI72" s="201">
        <f t="shared" si="1"/>
        <v>16.866666666666667</v>
      </c>
    </row>
    <row r="73" spans="1:38" ht="15" customHeight="1" x14ac:dyDescent="0.25">
      <c r="A73" s="1" t="s">
        <v>551</v>
      </c>
      <c r="B73" s="165" t="s">
        <v>480</v>
      </c>
      <c r="C73" s="157" t="s">
        <v>444</v>
      </c>
      <c r="D73" s="161" t="s">
        <v>189</v>
      </c>
      <c r="E73" s="161">
        <v>0.01</v>
      </c>
      <c r="F73" s="161" t="s">
        <v>646</v>
      </c>
      <c r="G73" s="181">
        <v>0.1</v>
      </c>
      <c r="H73" s="161" t="s">
        <v>190</v>
      </c>
      <c r="Y73" t="s">
        <v>736</v>
      </c>
      <c r="Z73" t="s">
        <v>685</v>
      </c>
      <c r="AA73" t="s">
        <v>667</v>
      </c>
      <c r="AB73" t="s">
        <v>668</v>
      </c>
      <c r="AC73">
        <v>0.48070000000000002</v>
      </c>
      <c r="AD73" s="165" t="s">
        <v>480</v>
      </c>
      <c r="AE73" t="str">
        <f t="shared" si="2"/>
        <v>Interrupteur de fin de course</v>
      </c>
      <c r="AF73" s="200">
        <f>IF(AE73&lt;&gt;"",LOOKUP(A73,Y$49:Y$89,AC$49:AC$89),"")</f>
        <v>2.7829999999999999</v>
      </c>
      <c r="AG73" s="181">
        <v>0.1</v>
      </c>
      <c r="AH73">
        <f t="shared" si="0"/>
        <v>2.5299999999999998</v>
      </c>
      <c r="AI73" s="201">
        <f t="shared" si="1"/>
        <v>25.299999999999997</v>
      </c>
    </row>
    <row r="74" spans="1:38" ht="15" customHeight="1" x14ac:dyDescent="0.25">
      <c r="A74" s="1" t="s">
        <v>866</v>
      </c>
      <c r="B74" s="165" t="s">
        <v>449</v>
      </c>
      <c r="C74" s="157" t="s">
        <v>445</v>
      </c>
      <c r="D74" s="161" t="s">
        <v>189</v>
      </c>
      <c r="E74" s="161">
        <v>50</v>
      </c>
      <c r="F74" s="161" t="s">
        <v>976</v>
      </c>
      <c r="G74" s="181">
        <v>6</v>
      </c>
      <c r="H74" s="161" t="s">
        <v>190</v>
      </c>
      <c r="Y74" t="s">
        <v>737</v>
      </c>
      <c r="Z74" t="s">
        <v>686</v>
      </c>
      <c r="AA74" t="s">
        <v>667</v>
      </c>
      <c r="AB74" t="s">
        <v>668</v>
      </c>
      <c r="AC74">
        <v>1.6445000000000001</v>
      </c>
      <c r="AD74" s="165"/>
      <c r="AG74" s="181"/>
      <c r="AI74" s="201"/>
    </row>
    <row r="75" spans="1:38" ht="15" customHeight="1" x14ac:dyDescent="0.25">
      <c r="A75" s="1" t="s">
        <v>552</v>
      </c>
      <c r="B75" s="165" t="s">
        <v>408</v>
      </c>
      <c r="C75" s="157" t="s">
        <v>446</v>
      </c>
      <c r="D75" s="161" t="s">
        <v>189</v>
      </c>
      <c r="E75" s="161">
        <v>7.0000000000000007E-2</v>
      </c>
      <c r="F75" s="161" t="s">
        <v>693</v>
      </c>
      <c r="G75" s="181">
        <v>0.25</v>
      </c>
      <c r="H75" s="161" t="s">
        <v>190</v>
      </c>
      <c r="Y75" t="s">
        <v>738</v>
      </c>
      <c r="Z75" t="s">
        <v>687</v>
      </c>
      <c r="AA75" t="s">
        <v>667</v>
      </c>
      <c r="AB75" t="s">
        <v>678</v>
      </c>
      <c r="AC75">
        <v>9.1080000000000005</v>
      </c>
      <c r="AD75" s="165" t="s">
        <v>408</v>
      </c>
      <c r="AE75" t="str">
        <f>+LOOKUP(A75,Y$49:Y$89,Z$49:Z$89)</f>
        <v>Interrupteur de fin de course</v>
      </c>
      <c r="AF75" s="200">
        <f>IF(AE75&lt;&gt;"",LOOKUP(A75,Y$49:Y$89,AC$49:AC$89),"")</f>
        <v>2.7829999999999999</v>
      </c>
      <c r="AG75" s="181">
        <v>0.25</v>
      </c>
      <c r="AH75">
        <f t="shared" si="0"/>
        <v>2.5299999999999998</v>
      </c>
      <c r="AI75" s="201">
        <f t="shared" si="1"/>
        <v>10.119999999999999</v>
      </c>
    </row>
    <row r="76" spans="1:38" ht="15" customHeight="1" x14ac:dyDescent="0.25">
      <c r="A76" s="1" t="s">
        <v>553</v>
      </c>
      <c r="B76" s="199" t="s">
        <v>292</v>
      </c>
      <c r="C76" s="157" t="s">
        <v>446</v>
      </c>
      <c r="D76" s="161" t="s">
        <v>189</v>
      </c>
      <c r="E76" s="161">
        <v>0.3</v>
      </c>
      <c r="F76" s="161" t="s">
        <v>693</v>
      </c>
      <c r="G76" s="181">
        <v>1</v>
      </c>
      <c r="H76" s="161" t="s">
        <v>190</v>
      </c>
      <c r="Y76" t="s">
        <v>739</v>
      </c>
      <c r="Z76" t="s">
        <v>688</v>
      </c>
      <c r="AA76" t="s">
        <v>667</v>
      </c>
      <c r="AB76" t="s">
        <v>678</v>
      </c>
      <c r="AC76">
        <v>4.7437500000000004</v>
      </c>
      <c r="AD76" s="199" t="s">
        <v>292</v>
      </c>
      <c r="AE76" t="str">
        <f>+LOOKUP(A76,Y$49:Y$89,Z$49:Z$89)</f>
        <v>Interrupteur de fin de course</v>
      </c>
      <c r="AF76" s="200">
        <f>IF(AE76&lt;&gt;"",LOOKUP(A76,Y$49:Y$89,AC$49:AC$89),"")</f>
        <v>2.7829999999999999</v>
      </c>
      <c r="AG76" s="181">
        <v>1</v>
      </c>
      <c r="AH76">
        <f t="shared" si="0"/>
        <v>2.5299999999999998</v>
      </c>
      <c r="AI76" s="201">
        <f t="shared" si="1"/>
        <v>2.5299999999999998</v>
      </c>
    </row>
    <row r="77" spans="1:38" ht="15" customHeight="1" x14ac:dyDescent="0.25">
      <c r="A77" s="1" t="s">
        <v>554</v>
      </c>
      <c r="B77" s="165" t="s">
        <v>409</v>
      </c>
      <c r="C77" s="157" t="s">
        <v>446</v>
      </c>
      <c r="D77" s="161" t="s">
        <v>189</v>
      </c>
      <c r="E77" s="161">
        <v>1</v>
      </c>
      <c r="F77" s="161" t="s">
        <v>645</v>
      </c>
      <c r="G77" s="181">
        <v>6</v>
      </c>
      <c r="H77" s="161" t="s">
        <v>190</v>
      </c>
      <c r="Y77" t="s">
        <v>740</v>
      </c>
      <c r="Z77" t="s">
        <v>689</v>
      </c>
      <c r="AA77" t="s">
        <v>667</v>
      </c>
      <c r="AB77" t="s">
        <v>668</v>
      </c>
      <c r="AC77" t="s">
        <v>667</v>
      </c>
      <c r="AD77" s="165" t="s">
        <v>409</v>
      </c>
      <c r="AE77" t="s">
        <v>765</v>
      </c>
      <c r="AF77" s="200">
        <v>8.2225000000000001</v>
      </c>
      <c r="AG77" s="181">
        <v>6</v>
      </c>
      <c r="AH77">
        <f t="shared" si="0"/>
        <v>7.4749999999999996</v>
      </c>
      <c r="AI77" s="201">
        <f t="shared" si="1"/>
        <v>1.2458333333333333</v>
      </c>
      <c r="AJ77" t="s">
        <v>767</v>
      </c>
      <c r="AK77" s="200">
        <f>9.108/1.1</f>
        <v>8.2799999999999994</v>
      </c>
      <c r="AL77" s="201">
        <f>+AK77/AG77</f>
        <v>1.38</v>
      </c>
    </row>
    <row r="78" spans="1:38" ht="15" customHeight="1" x14ac:dyDescent="0.25">
      <c r="A78" s="1" t="s">
        <v>555</v>
      </c>
      <c r="B78" s="165" t="s">
        <v>481</v>
      </c>
      <c r="C78" s="157" t="s">
        <v>446</v>
      </c>
      <c r="D78" s="161" t="s">
        <v>189</v>
      </c>
      <c r="E78" s="161">
        <v>0.6</v>
      </c>
      <c r="F78" s="161" t="s">
        <v>645</v>
      </c>
      <c r="G78" s="183">
        <v>3.5</v>
      </c>
      <c r="H78" s="161" t="s">
        <v>190</v>
      </c>
      <c r="Y78" t="s">
        <v>741</v>
      </c>
      <c r="Z78" t="s">
        <v>690</v>
      </c>
      <c r="AA78" t="s">
        <v>691</v>
      </c>
      <c r="AB78" t="s">
        <v>678</v>
      </c>
      <c r="AC78">
        <v>10.372999999999999</v>
      </c>
      <c r="AD78" s="165" t="s">
        <v>481</v>
      </c>
      <c r="AE78" t="s">
        <v>764</v>
      </c>
      <c r="AF78" s="200">
        <v>8.2225000000000001</v>
      </c>
      <c r="AG78" s="183">
        <v>3.5</v>
      </c>
      <c r="AH78">
        <f t="shared" si="0"/>
        <v>7.4749999999999996</v>
      </c>
      <c r="AI78" s="201">
        <f t="shared" si="1"/>
        <v>2.1357142857142857</v>
      </c>
      <c r="AJ78" t="s">
        <v>766</v>
      </c>
      <c r="AK78" s="200">
        <f>4.74375/1.1</f>
        <v>4.3125</v>
      </c>
      <c r="AL78" s="201">
        <f>+AK78/AG78</f>
        <v>1.2321428571428572</v>
      </c>
    </row>
    <row r="79" spans="1:38" ht="15" customHeight="1" x14ac:dyDescent="0.25">
      <c r="A79" s="1" t="s">
        <v>867</v>
      </c>
      <c r="B79" s="165" t="s">
        <v>649</v>
      </c>
      <c r="C79" s="157" t="s">
        <v>446</v>
      </c>
      <c r="D79" s="161" t="s">
        <v>189</v>
      </c>
      <c r="E79" s="161">
        <v>0.14000000000000001</v>
      </c>
      <c r="F79" s="161" t="s">
        <v>693</v>
      </c>
      <c r="G79" s="164">
        <v>0.5</v>
      </c>
      <c r="H79" s="161" t="s">
        <v>190</v>
      </c>
      <c r="Y79" t="s">
        <v>742</v>
      </c>
      <c r="Z79" t="s">
        <v>692</v>
      </c>
      <c r="AA79" t="s">
        <v>667</v>
      </c>
      <c r="AB79" t="s">
        <v>693</v>
      </c>
      <c r="AC79">
        <v>0.48070000000000002</v>
      </c>
      <c r="AD79" s="165" t="s">
        <v>649</v>
      </c>
      <c r="AF79" t="str">
        <f>IF(AE79&lt;&gt;"",LOOKUP(A79,Y$49:Y$89,AC$49:AC$89),"")</f>
        <v/>
      </c>
      <c r="AG79" s="164">
        <v>0.5</v>
      </c>
      <c r="AH79" t="e">
        <f t="shared" si="0"/>
        <v>#VALUE!</v>
      </c>
      <c r="AI79" s="201" t="e">
        <f t="shared" si="1"/>
        <v>#VALUE!</v>
      </c>
    </row>
    <row r="80" spans="1:38" ht="15" customHeight="1" x14ac:dyDescent="0.25">
      <c r="A80" s="1" t="s">
        <v>868</v>
      </c>
      <c r="B80" s="165" t="s">
        <v>450</v>
      </c>
      <c r="C80" s="157" t="s">
        <v>446</v>
      </c>
      <c r="D80" s="161" t="s">
        <v>189</v>
      </c>
      <c r="E80" s="161">
        <v>20</v>
      </c>
      <c r="F80" s="161" t="s">
        <v>646</v>
      </c>
      <c r="G80" s="164">
        <v>60</v>
      </c>
      <c r="H80" s="161" t="s">
        <v>190</v>
      </c>
      <c r="Y80" t="s">
        <v>743</v>
      </c>
      <c r="Z80" t="s">
        <v>694</v>
      </c>
      <c r="AA80" t="s">
        <v>667</v>
      </c>
      <c r="AB80" t="s">
        <v>693</v>
      </c>
      <c r="AC80">
        <v>0.11385000000000001</v>
      </c>
      <c r="AD80" s="165" t="s">
        <v>450</v>
      </c>
      <c r="AE80" t="str">
        <f>+LOOKUP(A80,Y$49:Y$89,Z$49:Z$89)</f>
        <v>Interrupteur de fin de course</v>
      </c>
      <c r="AG80" s="164">
        <v>60</v>
      </c>
      <c r="AH80">
        <f t="shared" si="0"/>
        <v>0</v>
      </c>
      <c r="AI80" s="201">
        <f t="shared" si="1"/>
        <v>0</v>
      </c>
    </row>
    <row r="81" spans="1:38" ht="15" customHeight="1" x14ac:dyDescent="0.25">
      <c r="A81" s="1" t="s">
        <v>556</v>
      </c>
      <c r="B81" s="165" t="s">
        <v>744</v>
      </c>
      <c r="C81" s="157" t="s">
        <v>446</v>
      </c>
      <c r="D81" s="161" t="s">
        <v>202</v>
      </c>
      <c r="E81" s="161">
        <v>22</v>
      </c>
      <c r="F81" s="161" t="s">
        <v>646</v>
      </c>
      <c r="G81" s="164">
        <v>33</v>
      </c>
      <c r="H81" s="161" t="s">
        <v>190</v>
      </c>
      <c r="Y81" t="s">
        <v>745</v>
      </c>
      <c r="Z81" t="s">
        <v>695</v>
      </c>
      <c r="AA81" t="s">
        <v>667</v>
      </c>
      <c r="AB81" t="s">
        <v>696</v>
      </c>
      <c r="AC81" t="s">
        <v>667</v>
      </c>
      <c r="AD81" s="165" t="s">
        <v>744</v>
      </c>
      <c r="AE81" t="str">
        <f>+LOOKUP(A81,Y$49:Y$89,Z$49:Z$89)</f>
        <v>Interrupteur de fin de course</v>
      </c>
      <c r="AF81" s="200">
        <v>37.950000000000003</v>
      </c>
      <c r="AG81" s="164">
        <v>33</v>
      </c>
      <c r="AH81">
        <f t="shared" si="0"/>
        <v>34.5</v>
      </c>
      <c r="AI81" s="201">
        <f t="shared" si="1"/>
        <v>1.0454545454545454</v>
      </c>
    </row>
    <row r="82" spans="1:38" ht="15" customHeight="1" x14ac:dyDescent="0.25">
      <c r="A82" s="1" t="s">
        <v>869</v>
      </c>
      <c r="B82" s="165" t="s">
        <v>746</v>
      </c>
      <c r="C82" s="157" t="s">
        <v>478</v>
      </c>
      <c r="D82" s="161" t="s">
        <v>208</v>
      </c>
      <c r="E82" s="161">
        <v>0.02</v>
      </c>
      <c r="F82" s="161" t="s">
        <v>977</v>
      </c>
      <c r="G82" s="164">
        <v>2.3E-2</v>
      </c>
      <c r="H82" s="161" t="s">
        <v>190</v>
      </c>
      <c r="Y82" t="s">
        <v>747</v>
      </c>
      <c r="Z82" t="s">
        <v>697</v>
      </c>
      <c r="AA82" t="s">
        <v>667</v>
      </c>
      <c r="AB82" t="s">
        <v>696</v>
      </c>
      <c r="AC82" t="s">
        <v>667</v>
      </c>
      <c r="AD82" s="165" t="s">
        <v>746</v>
      </c>
      <c r="AF82" t="str">
        <f t="shared" ref="AF82:AF89" si="3">IF(AE82&lt;&gt;"",LOOKUP(A82,Y$49:Y$89,AC$49:AC$89),"")</f>
        <v/>
      </c>
      <c r="AG82" s="164">
        <v>2.3E-2</v>
      </c>
      <c r="AH82" t="e">
        <f t="shared" si="0"/>
        <v>#VALUE!</v>
      </c>
      <c r="AI82" s="201" t="e">
        <f t="shared" si="1"/>
        <v>#VALUE!</v>
      </c>
    </row>
    <row r="83" spans="1:38" ht="15" customHeight="1" x14ac:dyDescent="0.25">
      <c r="A83" s="1" t="s">
        <v>870</v>
      </c>
      <c r="B83" s="165" t="s">
        <v>271</v>
      </c>
      <c r="C83" s="157" t="s">
        <v>478</v>
      </c>
      <c r="D83" s="161" t="s">
        <v>208</v>
      </c>
      <c r="E83" s="161">
        <v>0.03</v>
      </c>
      <c r="F83" s="161" t="s">
        <v>977</v>
      </c>
      <c r="G83" s="164">
        <v>0.107</v>
      </c>
      <c r="H83" s="161" t="s">
        <v>190</v>
      </c>
      <c r="Y83" t="s">
        <v>748</v>
      </c>
      <c r="Z83" t="s">
        <v>245</v>
      </c>
      <c r="AA83" t="s">
        <v>667</v>
      </c>
      <c r="AB83" t="s">
        <v>696</v>
      </c>
      <c r="AC83" t="s">
        <v>667</v>
      </c>
      <c r="AD83" s="165" t="s">
        <v>271</v>
      </c>
      <c r="AF83" t="str">
        <f t="shared" si="3"/>
        <v/>
      </c>
      <c r="AG83" s="164">
        <v>0.107</v>
      </c>
      <c r="AH83" t="e">
        <f t="shared" si="0"/>
        <v>#VALUE!</v>
      </c>
      <c r="AI83" s="201" t="e">
        <f t="shared" si="1"/>
        <v>#VALUE!</v>
      </c>
    </row>
    <row r="84" spans="1:38" ht="15" customHeight="1" x14ac:dyDescent="0.25">
      <c r="A84" s="1" t="s">
        <v>871</v>
      </c>
      <c r="B84" s="165" t="s">
        <v>410</v>
      </c>
      <c r="C84" s="157" t="s">
        <v>478</v>
      </c>
      <c r="D84" s="161" t="s">
        <v>208</v>
      </c>
      <c r="E84" s="161">
        <v>0.04</v>
      </c>
      <c r="F84" s="161" t="s">
        <v>977</v>
      </c>
      <c r="G84" s="164">
        <v>0.122</v>
      </c>
      <c r="H84" s="161" t="s">
        <v>190</v>
      </c>
      <c r="I84">
        <f>50*1.65*9.8</f>
        <v>808.50000000000011</v>
      </c>
      <c r="Y84" t="s">
        <v>749</v>
      </c>
      <c r="Z84" t="s">
        <v>246</v>
      </c>
      <c r="AA84" t="s">
        <v>667</v>
      </c>
      <c r="AB84" t="s">
        <v>696</v>
      </c>
      <c r="AC84" t="s">
        <v>667</v>
      </c>
      <c r="AD84" s="165" t="s">
        <v>410</v>
      </c>
      <c r="AF84" t="str">
        <f t="shared" si="3"/>
        <v/>
      </c>
      <c r="AG84" s="164">
        <v>0.122</v>
      </c>
      <c r="AH84" t="e">
        <f t="shared" si="0"/>
        <v>#VALUE!</v>
      </c>
      <c r="AI84" s="201" t="e">
        <f t="shared" si="1"/>
        <v>#VALUE!</v>
      </c>
    </row>
    <row r="85" spans="1:38" ht="15" customHeight="1" x14ac:dyDescent="0.25">
      <c r="A85" s="1" t="s">
        <v>872</v>
      </c>
      <c r="B85" s="165" t="s">
        <v>750</v>
      </c>
      <c r="C85" s="157" t="s">
        <v>478</v>
      </c>
      <c r="D85" s="161" t="s">
        <v>208</v>
      </c>
      <c r="E85" s="161">
        <v>0.05</v>
      </c>
      <c r="F85" s="161" t="s">
        <v>977</v>
      </c>
      <c r="G85" s="162">
        <v>0.13700000000000001</v>
      </c>
      <c r="H85" s="161" t="s">
        <v>190</v>
      </c>
      <c r="Y85" t="s">
        <v>751</v>
      </c>
      <c r="Z85" t="s">
        <v>698</v>
      </c>
      <c r="AA85" t="s">
        <v>667</v>
      </c>
      <c r="AB85" t="s">
        <v>696</v>
      </c>
      <c r="AC85" t="s">
        <v>667</v>
      </c>
      <c r="AD85" s="165" t="s">
        <v>750</v>
      </c>
      <c r="AF85" t="str">
        <f t="shared" si="3"/>
        <v/>
      </c>
      <c r="AG85" s="162">
        <v>0.13700000000000001</v>
      </c>
      <c r="AH85" t="e">
        <f t="shared" si="0"/>
        <v>#VALUE!</v>
      </c>
      <c r="AI85" s="201" t="e">
        <f t="shared" si="1"/>
        <v>#VALUE!</v>
      </c>
    </row>
    <row r="86" spans="1:38" ht="15" customHeight="1" x14ac:dyDescent="0.25">
      <c r="A86" s="1" t="s">
        <v>873</v>
      </c>
      <c r="B86" s="165" t="s">
        <v>486</v>
      </c>
      <c r="C86" s="157" t="s">
        <v>478</v>
      </c>
      <c r="D86" s="161" t="s">
        <v>208</v>
      </c>
      <c r="E86" s="161">
        <v>1.2</v>
      </c>
      <c r="F86" s="161" t="s">
        <v>977</v>
      </c>
      <c r="G86" s="162">
        <v>1.5432999999999999</v>
      </c>
      <c r="H86" s="161" t="s">
        <v>190</v>
      </c>
      <c r="Y86" t="s">
        <v>752</v>
      </c>
      <c r="Z86" t="s">
        <v>699</v>
      </c>
      <c r="AA86" t="s">
        <v>667</v>
      </c>
      <c r="AB86" t="s">
        <v>696</v>
      </c>
      <c r="AC86">
        <v>5.6924999999999999</v>
      </c>
      <c r="AD86" s="165" t="s">
        <v>486</v>
      </c>
      <c r="AF86" t="str">
        <f t="shared" si="3"/>
        <v/>
      </c>
      <c r="AG86" s="162">
        <v>1.5432999999999999</v>
      </c>
      <c r="AH86" t="e">
        <f t="shared" si="0"/>
        <v>#VALUE!</v>
      </c>
      <c r="AI86" s="201" t="e">
        <f t="shared" si="1"/>
        <v>#VALUE!</v>
      </c>
    </row>
    <row r="87" spans="1:38" ht="15" customHeight="1" x14ac:dyDescent="0.25">
      <c r="A87" s="1" t="s">
        <v>874</v>
      </c>
      <c r="B87" s="165" t="s">
        <v>650</v>
      </c>
      <c r="C87" s="157" t="s">
        <v>478</v>
      </c>
      <c r="D87" s="161" t="s">
        <v>208</v>
      </c>
      <c r="E87" s="161">
        <v>0.3</v>
      </c>
      <c r="F87" s="161" t="s">
        <v>977</v>
      </c>
      <c r="G87" s="162">
        <v>0.8</v>
      </c>
      <c r="H87" s="161" t="s">
        <v>190</v>
      </c>
      <c r="Y87" t="s">
        <v>753</v>
      </c>
      <c r="Z87" t="s">
        <v>700</v>
      </c>
      <c r="AA87" t="s">
        <v>667</v>
      </c>
      <c r="AB87" t="s">
        <v>696</v>
      </c>
      <c r="AC87">
        <v>1.6445000000000001</v>
      </c>
      <c r="AD87" s="165" t="s">
        <v>650</v>
      </c>
      <c r="AF87" t="str">
        <f t="shared" si="3"/>
        <v/>
      </c>
      <c r="AG87" s="162">
        <v>0.8</v>
      </c>
      <c r="AH87" t="e">
        <f t="shared" si="0"/>
        <v>#VALUE!</v>
      </c>
      <c r="AI87" s="201" t="e">
        <f t="shared" si="1"/>
        <v>#VALUE!</v>
      </c>
    </row>
    <row r="88" spans="1:38" ht="15" customHeight="1" x14ac:dyDescent="0.25">
      <c r="A88" s="1" t="s">
        <v>557</v>
      </c>
      <c r="B88" s="165" t="s">
        <v>256</v>
      </c>
      <c r="C88" s="157" t="s">
        <v>478</v>
      </c>
      <c r="D88" s="161" t="s">
        <v>208</v>
      </c>
      <c r="E88" s="161">
        <v>0.5</v>
      </c>
      <c r="F88" s="161" t="s">
        <v>977</v>
      </c>
      <c r="G88" s="162">
        <v>0.4</v>
      </c>
      <c r="H88" s="161" t="s">
        <v>190</v>
      </c>
      <c r="Y88" t="s">
        <v>754</v>
      </c>
      <c r="Z88" t="s">
        <v>701</v>
      </c>
      <c r="AA88" t="s">
        <v>667</v>
      </c>
      <c r="AB88" t="s">
        <v>668</v>
      </c>
      <c r="AC88">
        <v>2.8462499999999999</v>
      </c>
      <c r="AD88" s="165" t="s">
        <v>256</v>
      </c>
      <c r="AE88" t="str">
        <f t="shared" ref="AE88:AE94" si="4">+LOOKUP(A88,Y$49:Y$89,Z$49:Z$89)</f>
        <v>Interrupteur de fin de course</v>
      </c>
      <c r="AF88" s="200">
        <f t="shared" si="3"/>
        <v>2.7829999999999999</v>
      </c>
      <c r="AG88" s="162">
        <v>0.4</v>
      </c>
      <c r="AH88">
        <f t="shared" si="0"/>
        <v>2.5299999999999998</v>
      </c>
      <c r="AI88" s="201">
        <f t="shared" si="1"/>
        <v>6.3249999999999993</v>
      </c>
    </row>
    <row r="89" spans="1:38" ht="15" customHeight="1" x14ac:dyDescent="0.25">
      <c r="A89" s="1" t="s">
        <v>558</v>
      </c>
      <c r="B89" s="165" t="s">
        <v>411</v>
      </c>
      <c r="C89" s="157" t="s">
        <v>478</v>
      </c>
      <c r="D89" s="161" t="s">
        <v>208</v>
      </c>
      <c r="E89" s="161">
        <v>1</v>
      </c>
      <c r="F89" s="161" t="s">
        <v>977</v>
      </c>
      <c r="G89" s="162">
        <v>0.09</v>
      </c>
      <c r="H89" s="161" t="s">
        <v>190</v>
      </c>
      <c r="Y89" t="s">
        <v>755</v>
      </c>
      <c r="Z89" t="s">
        <v>702</v>
      </c>
      <c r="AA89" t="s">
        <v>667</v>
      </c>
      <c r="AB89" t="s">
        <v>668</v>
      </c>
      <c r="AC89">
        <v>2.7829999999999999</v>
      </c>
      <c r="AD89" s="165" t="s">
        <v>411</v>
      </c>
      <c r="AE89" t="str">
        <f t="shared" si="4"/>
        <v>Interrupteur de fin de course</v>
      </c>
      <c r="AF89" s="200">
        <f t="shared" si="3"/>
        <v>2.7829999999999999</v>
      </c>
      <c r="AG89" s="162">
        <v>0.09</v>
      </c>
      <c r="AH89">
        <f t="shared" si="0"/>
        <v>2.5299999999999998</v>
      </c>
      <c r="AI89" s="201">
        <f t="shared" si="1"/>
        <v>28.111111111111111</v>
      </c>
    </row>
    <row r="90" spans="1:38" ht="15" customHeight="1" x14ac:dyDescent="0.25">
      <c r="A90" s="1" t="s">
        <v>875</v>
      </c>
      <c r="B90" s="165" t="s">
        <v>412</v>
      </c>
      <c r="C90" s="157" t="s">
        <v>455</v>
      </c>
      <c r="D90" s="161" t="s">
        <v>189</v>
      </c>
      <c r="E90" s="161">
        <v>1.8</v>
      </c>
      <c r="F90" s="161" t="s">
        <v>472</v>
      </c>
      <c r="G90" s="162">
        <v>95</v>
      </c>
      <c r="H90" s="161" t="s">
        <v>190</v>
      </c>
      <c r="AD90" s="165" t="s">
        <v>412</v>
      </c>
      <c r="AE90" t="str">
        <f t="shared" si="4"/>
        <v>Interrupteur de fin de course</v>
      </c>
      <c r="AG90" s="162">
        <v>77.5</v>
      </c>
      <c r="AH90">
        <f t="shared" si="0"/>
        <v>0</v>
      </c>
      <c r="AI90" s="201">
        <f t="shared" si="1"/>
        <v>0</v>
      </c>
    </row>
    <row r="91" spans="1:38" ht="15" customHeight="1" x14ac:dyDescent="0.25">
      <c r="A91" s="1" t="s">
        <v>876</v>
      </c>
      <c r="B91" s="165" t="s">
        <v>413</v>
      </c>
      <c r="C91" s="157" t="s">
        <v>455</v>
      </c>
      <c r="D91" s="161" t="s">
        <v>189</v>
      </c>
      <c r="E91" s="161">
        <v>1.2</v>
      </c>
      <c r="F91" s="161" t="s">
        <v>472</v>
      </c>
      <c r="G91" s="181">
        <v>80</v>
      </c>
      <c r="H91" s="161" t="s">
        <v>190</v>
      </c>
      <c r="AD91" s="165" t="s">
        <v>413</v>
      </c>
      <c r="AE91" t="str">
        <f t="shared" si="4"/>
        <v>Interrupteur de fin de course</v>
      </c>
      <c r="AG91" s="181">
        <v>67.5</v>
      </c>
      <c r="AH91">
        <f t="shared" si="0"/>
        <v>0</v>
      </c>
      <c r="AI91" s="201">
        <f t="shared" si="1"/>
        <v>0</v>
      </c>
    </row>
    <row r="92" spans="1:38" ht="15" customHeight="1" x14ac:dyDescent="0.25">
      <c r="A92" s="1" t="s">
        <v>877</v>
      </c>
      <c r="B92" s="165" t="s">
        <v>414</v>
      </c>
      <c r="C92" s="157" t="s">
        <v>455</v>
      </c>
      <c r="D92" s="161" t="s">
        <v>189</v>
      </c>
      <c r="E92" s="161">
        <v>1.5</v>
      </c>
      <c r="F92" s="161" t="s">
        <v>472</v>
      </c>
      <c r="G92" s="181">
        <v>6.4</v>
      </c>
      <c r="H92" s="161" t="s">
        <v>190</v>
      </c>
      <c r="AD92" s="165" t="s">
        <v>414</v>
      </c>
      <c r="AE92" t="str">
        <f t="shared" si="4"/>
        <v>Interrupteur de fin de course</v>
      </c>
      <c r="AG92" s="181">
        <v>6.4</v>
      </c>
      <c r="AH92">
        <f t="shared" si="0"/>
        <v>0</v>
      </c>
      <c r="AI92" s="201">
        <f t="shared" si="1"/>
        <v>0</v>
      </c>
    </row>
    <row r="93" spans="1:38" ht="15" customHeight="1" x14ac:dyDescent="0.25">
      <c r="A93" s="1" t="s">
        <v>878</v>
      </c>
      <c r="B93" s="168" t="s">
        <v>415</v>
      </c>
      <c r="C93" s="157" t="s">
        <v>455</v>
      </c>
      <c r="D93" s="161" t="s">
        <v>189</v>
      </c>
      <c r="E93" s="161">
        <v>1</v>
      </c>
      <c r="F93" s="161" t="s">
        <v>472</v>
      </c>
      <c r="G93" s="181">
        <v>4.0999999999999996</v>
      </c>
      <c r="H93" s="161" t="s">
        <v>190</v>
      </c>
      <c r="AD93" s="168" t="s">
        <v>415</v>
      </c>
      <c r="AE93" t="str">
        <f t="shared" si="4"/>
        <v>Interrupteur de fin de course</v>
      </c>
      <c r="AG93" s="181">
        <v>4.0999999999999996</v>
      </c>
      <c r="AH93">
        <f t="shared" si="0"/>
        <v>0</v>
      </c>
      <c r="AI93" s="201">
        <f t="shared" si="1"/>
        <v>0</v>
      </c>
    </row>
    <row r="94" spans="1:38" ht="15" customHeight="1" x14ac:dyDescent="0.25">
      <c r="A94" s="1" t="s">
        <v>879</v>
      </c>
      <c r="B94" s="168" t="s">
        <v>416</v>
      </c>
      <c r="C94" s="157" t="s">
        <v>446</v>
      </c>
      <c r="D94" s="161" t="s">
        <v>189</v>
      </c>
      <c r="E94" s="161">
        <v>1.2</v>
      </c>
      <c r="F94" s="161" t="s">
        <v>693</v>
      </c>
      <c r="G94" s="181">
        <v>7.8</v>
      </c>
      <c r="H94" s="161" t="s">
        <v>190</v>
      </c>
      <c r="AD94" s="168" t="s">
        <v>416</v>
      </c>
      <c r="AE94" t="str">
        <f t="shared" si="4"/>
        <v>Interrupteur de fin de course</v>
      </c>
      <c r="AG94" s="181">
        <v>7.8</v>
      </c>
      <c r="AH94">
        <f t="shared" si="0"/>
        <v>0</v>
      </c>
      <c r="AI94" s="201">
        <f t="shared" si="1"/>
        <v>0</v>
      </c>
    </row>
    <row r="95" spans="1:38" ht="15" customHeight="1" x14ac:dyDescent="0.25">
      <c r="A95" s="1" t="s">
        <v>559</v>
      </c>
      <c r="B95" s="165" t="s">
        <v>259</v>
      </c>
      <c r="C95" s="157" t="s">
        <v>446</v>
      </c>
      <c r="D95" s="161" t="s">
        <v>189</v>
      </c>
      <c r="E95" s="161">
        <v>1</v>
      </c>
      <c r="F95" s="161" t="s">
        <v>693</v>
      </c>
      <c r="G95" s="181">
        <v>2</v>
      </c>
      <c r="H95" s="161" t="s">
        <v>190</v>
      </c>
      <c r="AD95" s="165" t="s">
        <v>259</v>
      </c>
      <c r="AE95" t="s">
        <v>770</v>
      </c>
      <c r="AF95" s="200">
        <v>5.6924999999999999</v>
      </c>
      <c r="AG95" s="181">
        <v>2</v>
      </c>
      <c r="AH95">
        <f t="shared" si="0"/>
        <v>5.1749999999999998</v>
      </c>
      <c r="AI95" s="201">
        <f t="shared" si="1"/>
        <v>2.5874999999999999</v>
      </c>
    </row>
    <row r="96" spans="1:38" ht="15" customHeight="1" x14ac:dyDescent="0.25">
      <c r="A96" s="1" t="s">
        <v>560</v>
      </c>
      <c r="B96" s="165" t="s">
        <v>484</v>
      </c>
      <c r="C96" s="157" t="s">
        <v>446</v>
      </c>
      <c r="D96" s="161" t="s">
        <v>189</v>
      </c>
      <c r="E96" s="161">
        <v>0.4</v>
      </c>
      <c r="F96" s="161" t="s">
        <v>693</v>
      </c>
      <c r="G96" s="181">
        <v>1.6</v>
      </c>
      <c r="H96" s="161" t="s">
        <v>190</v>
      </c>
      <c r="AD96" s="165" t="s">
        <v>484</v>
      </c>
      <c r="AE96" t="s">
        <v>768</v>
      </c>
      <c r="AF96" s="200">
        <v>1.7709999999999999</v>
      </c>
      <c r="AG96" s="181">
        <v>1.6</v>
      </c>
      <c r="AH96">
        <f t="shared" si="0"/>
        <v>1.6099999999999999</v>
      </c>
      <c r="AI96" s="201">
        <f t="shared" si="1"/>
        <v>1.0062499999999999</v>
      </c>
      <c r="AJ96" t="s">
        <v>769</v>
      </c>
      <c r="AK96">
        <f>1.6445/1.1</f>
        <v>1.4949999999999999</v>
      </c>
      <c r="AL96" s="201">
        <f>+AK96/AG96</f>
        <v>0.93437499999999984</v>
      </c>
    </row>
    <row r="97" spans="1:35" ht="15" customHeight="1" x14ac:dyDescent="0.25">
      <c r="A97" s="1" t="s">
        <v>561</v>
      </c>
      <c r="B97" s="165" t="s">
        <v>217</v>
      </c>
      <c r="C97" s="157" t="s">
        <v>446</v>
      </c>
      <c r="D97" s="161" t="s">
        <v>189</v>
      </c>
      <c r="E97" s="161">
        <v>0.6</v>
      </c>
      <c r="F97" s="218" t="s">
        <v>497</v>
      </c>
      <c r="G97" s="181">
        <v>2.5</v>
      </c>
      <c r="H97" s="161" t="s">
        <v>298</v>
      </c>
      <c r="AD97" s="165" t="s">
        <v>217</v>
      </c>
      <c r="AE97" t="s">
        <v>771</v>
      </c>
      <c r="AF97" s="200">
        <v>2.8462499999999999</v>
      </c>
      <c r="AG97" s="181">
        <v>2.5</v>
      </c>
      <c r="AH97">
        <f t="shared" si="0"/>
        <v>2.5874999999999999</v>
      </c>
      <c r="AI97" s="201">
        <f t="shared" si="1"/>
        <v>1.0349999999999999</v>
      </c>
    </row>
    <row r="98" spans="1:35" ht="15" customHeight="1" x14ac:dyDescent="0.25">
      <c r="A98" s="1" t="s">
        <v>880</v>
      </c>
      <c r="B98" s="165" t="s">
        <v>62</v>
      </c>
      <c r="C98" s="157" t="s">
        <v>446</v>
      </c>
      <c r="D98" s="161" t="s">
        <v>189</v>
      </c>
      <c r="E98" s="161">
        <v>0.5</v>
      </c>
      <c r="F98" s="218" t="s">
        <v>497</v>
      </c>
      <c r="G98" s="162">
        <v>0</v>
      </c>
      <c r="H98" s="161" t="s">
        <v>190</v>
      </c>
      <c r="AD98" s="165" t="s">
        <v>62</v>
      </c>
      <c r="AE98" t="str">
        <f>+LOOKUP(A98,Y$49:Y$89,Z$49:Z$89)</f>
        <v>Interrupteur de fin de course</v>
      </c>
      <c r="AF98">
        <f>IF(AE98&lt;&gt;"",LOOKUP(A98,Y$49:Y$89,AC$49:AC$89),"")</f>
        <v>2.7829999999999999</v>
      </c>
      <c r="AG98" s="162">
        <v>0</v>
      </c>
      <c r="AH98">
        <f t="shared" si="0"/>
        <v>2.5299999999999998</v>
      </c>
      <c r="AI98" s="201" t="e">
        <f t="shared" si="1"/>
        <v>#DIV/0!</v>
      </c>
    </row>
    <row r="99" spans="1:35" ht="15" customHeight="1" x14ac:dyDescent="0.25">
      <c r="A99" s="1" t="s">
        <v>562</v>
      </c>
      <c r="B99" s="165" t="s">
        <v>417</v>
      </c>
      <c r="C99" s="157" t="s">
        <v>446</v>
      </c>
      <c r="D99" s="161" t="s">
        <v>189</v>
      </c>
      <c r="E99" s="161">
        <v>0.8</v>
      </c>
      <c r="F99" s="218" t="s">
        <v>497</v>
      </c>
      <c r="G99" s="162">
        <v>53</v>
      </c>
      <c r="H99" s="161" t="s">
        <v>190</v>
      </c>
    </row>
    <row r="100" spans="1:35" ht="15" customHeight="1" x14ac:dyDescent="0.25">
      <c r="A100" s="1" t="s">
        <v>563</v>
      </c>
      <c r="B100" s="165" t="s">
        <v>257</v>
      </c>
      <c r="C100" s="157" t="s">
        <v>446</v>
      </c>
      <c r="D100" s="157" t="s">
        <v>189</v>
      </c>
      <c r="E100" s="157">
        <v>3</v>
      </c>
      <c r="F100" s="218" t="s">
        <v>497</v>
      </c>
      <c r="G100" s="162">
        <v>60</v>
      </c>
      <c r="H100" s="161" t="s">
        <v>190</v>
      </c>
    </row>
    <row r="101" spans="1:35" ht="15" customHeight="1" x14ac:dyDescent="0.25">
      <c r="A101" s="1" t="s">
        <v>564</v>
      </c>
      <c r="B101" s="165" t="s">
        <v>258</v>
      </c>
      <c r="C101" s="157" t="s">
        <v>446</v>
      </c>
      <c r="D101" s="157" t="s">
        <v>189</v>
      </c>
      <c r="E101" s="157">
        <v>2.5</v>
      </c>
      <c r="F101" s="218" t="s">
        <v>497</v>
      </c>
      <c r="G101" s="162">
        <v>36</v>
      </c>
      <c r="H101" s="161" t="s">
        <v>190</v>
      </c>
    </row>
    <row r="102" spans="1:35" ht="15" customHeight="1" x14ac:dyDescent="0.25">
      <c r="A102" s="1" t="s">
        <v>565</v>
      </c>
      <c r="B102" s="165" t="s">
        <v>756</v>
      </c>
      <c r="C102" s="157" t="s">
        <v>446</v>
      </c>
      <c r="D102" s="157" t="s">
        <v>189</v>
      </c>
      <c r="E102" s="157">
        <v>38</v>
      </c>
      <c r="F102" s="161" t="s">
        <v>646</v>
      </c>
      <c r="G102" s="162">
        <v>60</v>
      </c>
      <c r="H102" s="161" t="s">
        <v>190</v>
      </c>
    </row>
    <row r="103" spans="1:35" ht="15" customHeight="1" x14ac:dyDescent="0.25">
      <c r="A103" s="1" t="s">
        <v>566</v>
      </c>
      <c r="B103" s="165" t="s">
        <v>757</v>
      </c>
      <c r="C103" s="157" t="s">
        <v>446</v>
      </c>
      <c r="D103" s="157" t="s">
        <v>189</v>
      </c>
      <c r="E103" s="157">
        <v>42</v>
      </c>
      <c r="F103" s="161" t="s">
        <v>646</v>
      </c>
      <c r="G103" s="162">
        <v>56.5</v>
      </c>
      <c r="H103" s="161" t="s">
        <v>190</v>
      </c>
    </row>
    <row r="104" spans="1:35" ht="15" customHeight="1" x14ac:dyDescent="0.25">
      <c r="A104" s="1" t="s">
        <v>567</v>
      </c>
      <c r="B104" s="165" t="s">
        <v>427</v>
      </c>
      <c r="C104" s="157" t="s">
        <v>438</v>
      </c>
      <c r="D104" s="161" t="s">
        <v>202</v>
      </c>
      <c r="E104" s="161">
        <v>95</v>
      </c>
      <c r="F104" s="218" t="s">
        <v>497</v>
      </c>
      <c r="G104" s="162">
        <v>625</v>
      </c>
      <c r="H104" s="161" t="s">
        <v>306</v>
      </c>
    </row>
    <row r="105" spans="1:35" ht="15" customHeight="1" x14ac:dyDescent="0.25">
      <c r="A105" s="1" t="s">
        <v>568</v>
      </c>
      <c r="B105" s="166" t="s">
        <v>428</v>
      </c>
      <c r="C105" s="157" t="s">
        <v>438</v>
      </c>
      <c r="D105" s="157" t="s">
        <v>202</v>
      </c>
      <c r="E105" s="157">
        <v>120</v>
      </c>
      <c r="F105" s="218" t="s">
        <v>497</v>
      </c>
      <c r="G105" s="181">
        <v>625</v>
      </c>
      <c r="H105" s="158"/>
      <c r="K105" t="s">
        <v>384</v>
      </c>
    </row>
    <row r="106" spans="1:35" ht="15" customHeight="1" x14ac:dyDescent="0.25">
      <c r="A106" s="1" t="s">
        <v>569</v>
      </c>
      <c r="B106" s="166" t="s">
        <v>468</v>
      </c>
      <c r="C106" s="157" t="s">
        <v>438</v>
      </c>
      <c r="D106" s="157" t="s">
        <v>202</v>
      </c>
      <c r="E106" s="157">
        <v>110</v>
      </c>
      <c r="F106" s="218" t="s">
        <v>497</v>
      </c>
      <c r="G106" s="181">
        <v>380</v>
      </c>
      <c r="H106" s="158"/>
    </row>
    <row r="107" spans="1:35" ht="15" customHeight="1" x14ac:dyDescent="0.25">
      <c r="A107" s="1" t="s">
        <v>570</v>
      </c>
      <c r="B107" s="166" t="s">
        <v>429</v>
      </c>
      <c r="C107" s="157" t="s">
        <v>438</v>
      </c>
      <c r="D107" s="157" t="s">
        <v>202</v>
      </c>
      <c r="E107" s="157">
        <v>135</v>
      </c>
      <c r="F107" s="218" t="s">
        <v>497</v>
      </c>
      <c r="G107" s="181">
        <v>380</v>
      </c>
      <c r="H107" s="158"/>
    </row>
    <row r="108" spans="1:35" ht="15" customHeight="1" x14ac:dyDescent="0.25">
      <c r="A108" s="1" t="s">
        <v>571</v>
      </c>
      <c r="B108" s="166" t="s">
        <v>253</v>
      </c>
      <c r="C108" s="157" t="s">
        <v>446</v>
      </c>
      <c r="D108" s="157" t="s">
        <v>189</v>
      </c>
      <c r="E108" s="157">
        <v>25</v>
      </c>
      <c r="F108" s="218" t="s">
        <v>497</v>
      </c>
      <c r="G108" s="181">
        <v>75</v>
      </c>
      <c r="H108" s="158"/>
    </row>
    <row r="109" spans="1:35" ht="15" customHeight="1" x14ac:dyDescent="0.25">
      <c r="A109" s="1" t="s">
        <v>572</v>
      </c>
      <c r="B109" s="166" t="s">
        <v>456</v>
      </c>
      <c r="C109" s="157" t="s">
        <v>439</v>
      </c>
      <c r="D109" s="157" t="s">
        <v>202</v>
      </c>
      <c r="E109" s="157">
        <v>75</v>
      </c>
      <c r="F109" s="161" t="s">
        <v>645</v>
      </c>
      <c r="G109" s="181">
        <v>55</v>
      </c>
      <c r="H109" s="158"/>
    </row>
    <row r="110" spans="1:35" ht="15" customHeight="1" x14ac:dyDescent="0.25">
      <c r="A110" s="1" t="s">
        <v>573</v>
      </c>
      <c r="B110" s="166" t="s">
        <v>499</v>
      </c>
      <c r="C110" s="157" t="s">
        <v>439</v>
      </c>
      <c r="D110" s="157" t="s">
        <v>202</v>
      </c>
      <c r="E110" s="157">
        <v>260</v>
      </c>
      <c r="F110" s="161" t="s">
        <v>645</v>
      </c>
      <c r="G110" s="162">
        <v>250</v>
      </c>
      <c r="H110" s="158"/>
    </row>
    <row r="111" spans="1:35" ht="15" customHeight="1" x14ac:dyDescent="0.25">
      <c r="A111" s="1" t="s">
        <v>574</v>
      </c>
      <c r="B111" s="166" t="s">
        <v>431</v>
      </c>
      <c r="C111" s="157" t="s">
        <v>438</v>
      </c>
      <c r="D111" s="157" t="s">
        <v>202</v>
      </c>
      <c r="E111" s="157">
        <v>32</v>
      </c>
      <c r="F111" s="218" t="s">
        <v>497</v>
      </c>
      <c r="G111" s="162">
        <v>730</v>
      </c>
      <c r="H111" s="158"/>
    </row>
    <row r="112" spans="1:35" ht="15" customHeight="1" x14ac:dyDescent="0.25">
      <c r="A112" s="1" t="s">
        <v>575</v>
      </c>
      <c r="B112" s="166" t="s">
        <v>430</v>
      </c>
      <c r="C112" s="157" t="s">
        <v>438</v>
      </c>
      <c r="D112" s="157" t="s">
        <v>202</v>
      </c>
      <c r="E112" s="157">
        <v>260</v>
      </c>
      <c r="F112" s="218" t="s">
        <v>497</v>
      </c>
      <c r="G112" s="169">
        <v>730</v>
      </c>
      <c r="H112" s="158"/>
    </row>
    <row r="113" spans="1:12" ht="15" customHeight="1" x14ac:dyDescent="0.25">
      <c r="A113" s="1" t="s">
        <v>576</v>
      </c>
      <c r="B113" s="165" t="s">
        <v>454</v>
      </c>
      <c r="C113" s="157" t="s">
        <v>441</v>
      </c>
      <c r="D113" s="161" t="s">
        <v>189</v>
      </c>
      <c r="E113" s="161">
        <v>1.5</v>
      </c>
      <c r="F113" s="161" t="s">
        <v>472</v>
      </c>
      <c r="G113" s="184">
        <v>400</v>
      </c>
      <c r="H113" s="161"/>
    </row>
    <row r="114" spans="1:12" ht="15" customHeight="1" x14ac:dyDescent="0.25">
      <c r="A114" s="1" t="s">
        <v>577</v>
      </c>
      <c r="B114" s="165" t="s">
        <v>356</v>
      </c>
      <c r="C114" s="157" t="s">
        <v>442</v>
      </c>
      <c r="D114" s="161" t="s">
        <v>189</v>
      </c>
      <c r="E114" s="161">
        <v>420</v>
      </c>
      <c r="F114" s="161" t="s">
        <v>472</v>
      </c>
      <c r="G114" s="169">
        <v>900</v>
      </c>
      <c r="H114" s="161"/>
    </row>
    <row r="115" spans="1:12" ht="15" customHeight="1" x14ac:dyDescent="0.25">
      <c r="A115" s="1" t="s">
        <v>578</v>
      </c>
      <c r="B115" s="165" t="s">
        <v>357</v>
      </c>
      <c r="C115" s="157" t="s">
        <v>446</v>
      </c>
      <c r="D115" s="161" t="s">
        <v>189</v>
      </c>
      <c r="E115" s="161">
        <v>1</v>
      </c>
      <c r="F115" s="161" t="s">
        <v>646</v>
      </c>
      <c r="G115" s="184">
        <v>4</v>
      </c>
      <c r="H115" s="161"/>
    </row>
    <row r="116" spans="1:12" ht="15" customHeight="1" x14ac:dyDescent="0.25">
      <c r="A116" s="1" t="s">
        <v>579</v>
      </c>
      <c r="B116" s="165" t="s">
        <v>361</v>
      </c>
      <c r="C116" s="157" t="s">
        <v>445</v>
      </c>
      <c r="D116" s="161" t="s">
        <v>189</v>
      </c>
      <c r="E116" s="161">
        <v>31</v>
      </c>
      <c r="F116" s="161" t="s">
        <v>976</v>
      </c>
      <c r="G116" s="184">
        <v>4.34</v>
      </c>
      <c r="H116" s="161"/>
      <c r="K116" t="s">
        <v>384</v>
      </c>
    </row>
    <row r="117" spans="1:12" ht="15" customHeight="1" x14ac:dyDescent="0.25">
      <c r="A117" s="212" t="s">
        <v>580</v>
      </c>
      <c r="B117" s="213" t="s">
        <v>418</v>
      </c>
      <c r="C117" s="217" t="s">
        <v>439</v>
      </c>
      <c r="D117" s="163" t="s">
        <v>189</v>
      </c>
      <c r="E117" s="163">
        <v>560</v>
      </c>
      <c r="F117" s="163"/>
      <c r="G117" s="214" t="s">
        <v>497</v>
      </c>
      <c r="H117" s="161" t="s">
        <v>190</v>
      </c>
      <c r="K117" t="s">
        <v>384</v>
      </c>
    </row>
    <row r="118" spans="1:12" ht="15" customHeight="1" x14ac:dyDescent="0.25">
      <c r="A118" s="212" t="s">
        <v>581</v>
      </c>
      <c r="B118" s="213" t="s">
        <v>419</v>
      </c>
      <c r="C118" s="217" t="s">
        <v>439</v>
      </c>
      <c r="D118" s="163" t="s">
        <v>189</v>
      </c>
      <c r="E118" s="163">
        <v>140</v>
      </c>
      <c r="F118" s="163"/>
      <c r="G118" s="214" t="s">
        <v>497</v>
      </c>
      <c r="H118" s="161" t="s">
        <v>190</v>
      </c>
      <c r="K118" t="s">
        <v>384</v>
      </c>
    </row>
    <row r="119" spans="1:12" ht="15" customHeight="1" x14ac:dyDescent="0.25">
      <c r="A119" s="212" t="s">
        <v>582</v>
      </c>
      <c r="B119" s="213" t="s">
        <v>420</v>
      </c>
      <c r="C119" s="217" t="s">
        <v>439</v>
      </c>
      <c r="D119" s="163" t="s">
        <v>189</v>
      </c>
      <c r="E119" s="163">
        <v>135</v>
      </c>
      <c r="F119" s="163"/>
      <c r="G119" s="214" t="s">
        <v>497</v>
      </c>
      <c r="H119" s="161" t="s">
        <v>190</v>
      </c>
      <c r="K119" t="s">
        <v>384</v>
      </c>
      <c r="L119" t="s">
        <v>781</v>
      </c>
    </row>
    <row r="120" spans="1:12" ht="15" customHeight="1" x14ac:dyDescent="0.25">
      <c r="A120" s="212" t="s">
        <v>583</v>
      </c>
      <c r="B120" s="213" t="s">
        <v>421</v>
      </c>
      <c r="C120" s="217" t="s">
        <v>439</v>
      </c>
      <c r="D120" s="163" t="s">
        <v>189</v>
      </c>
      <c r="E120" s="163">
        <v>35</v>
      </c>
      <c r="F120" s="163"/>
      <c r="G120" s="214" t="s">
        <v>497</v>
      </c>
      <c r="H120" s="161" t="s">
        <v>306</v>
      </c>
      <c r="K120" t="s">
        <v>384</v>
      </c>
    </row>
    <row r="121" spans="1:12" ht="15" customHeight="1" x14ac:dyDescent="0.25">
      <c r="A121" s="1" t="s">
        <v>584</v>
      </c>
      <c r="B121" s="165" t="s">
        <v>402</v>
      </c>
      <c r="C121" s="157" t="s">
        <v>441</v>
      </c>
      <c r="D121" s="161" t="s">
        <v>189</v>
      </c>
      <c r="E121" s="161">
        <v>110</v>
      </c>
      <c r="F121" s="161" t="s">
        <v>472</v>
      </c>
      <c r="G121" s="181">
        <v>330</v>
      </c>
      <c r="H121" s="161" t="s">
        <v>306</v>
      </c>
    </row>
    <row r="122" spans="1:12" ht="15" customHeight="1" x14ac:dyDescent="0.25">
      <c r="A122" s="1" t="s">
        <v>585</v>
      </c>
      <c r="B122" s="165" t="s">
        <v>465</v>
      </c>
      <c r="C122" s="157" t="s">
        <v>440</v>
      </c>
      <c r="D122" s="161" t="s">
        <v>189</v>
      </c>
      <c r="E122" s="161">
        <v>135</v>
      </c>
      <c r="F122" s="161" t="s">
        <v>472</v>
      </c>
      <c r="G122" s="181">
        <v>225</v>
      </c>
      <c r="H122" s="161" t="s">
        <v>306</v>
      </c>
    </row>
    <row r="123" spans="1:12" ht="15" customHeight="1" x14ac:dyDescent="0.25">
      <c r="A123" s="1" t="s">
        <v>586</v>
      </c>
      <c r="B123" s="166" t="s">
        <v>466</v>
      </c>
      <c r="C123" s="157" t="s">
        <v>440</v>
      </c>
      <c r="D123" s="157" t="s">
        <v>189</v>
      </c>
      <c r="E123" s="157">
        <v>135</v>
      </c>
      <c r="F123" s="161" t="s">
        <v>645</v>
      </c>
      <c r="G123" s="181">
        <v>185</v>
      </c>
      <c r="H123" s="161"/>
    </row>
    <row r="124" spans="1:12" ht="15" customHeight="1" x14ac:dyDescent="0.25">
      <c r="A124" s="1" t="s">
        <v>587</v>
      </c>
      <c r="B124" s="165" t="s">
        <v>488</v>
      </c>
      <c r="C124" s="157" t="s">
        <v>440</v>
      </c>
      <c r="D124" s="157" t="s">
        <v>189</v>
      </c>
      <c r="E124" s="157">
        <v>135</v>
      </c>
      <c r="F124" s="161" t="s">
        <v>472</v>
      </c>
      <c r="G124" s="181">
        <v>375</v>
      </c>
      <c r="H124" s="161"/>
    </row>
    <row r="125" spans="1:12" ht="15" customHeight="1" x14ac:dyDescent="0.25">
      <c r="A125" s="1" t="s">
        <v>588</v>
      </c>
      <c r="B125" s="165" t="s">
        <v>489</v>
      </c>
      <c r="C125" s="157" t="s">
        <v>440</v>
      </c>
      <c r="D125" s="157" t="s">
        <v>189</v>
      </c>
      <c r="E125" s="157">
        <v>135</v>
      </c>
      <c r="F125" s="161" t="s">
        <v>645</v>
      </c>
      <c r="G125" s="181">
        <v>290</v>
      </c>
      <c r="H125" s="161"/>
    </row>
    <row r="126" spans="1:12" ht="15" customHeight="1" x14ac:dyDescent="0.25">
      <c r="A126" s="1" t="s">
        <v>589</v>
      </c>
      <c r="B126" s="165" t="s">
        <v>490</v>
      </c>
      <c r="C126" s="157" t="s">
        <v>441</v>
      </c>
      <c r="D126" s="157" t="s">
        <v>189</v>
      </c>
      <c r="E126" s="157">
        <v>110</v>
      </c>
      <c r="F126" s="161" t="s">
        <v>472</v>
      </c>
      <c r="G126" s="211">
        <v>695</v>
      </c>
      <c r="H126" s="161"/>
    </row>
    <row r="127" spans="1:12" ht="15" customHeight="1" x14ac:dyDescent="0.25">
      <c r="A127" s="1" t="s">
        <v>590</v>
      </c>
      <c r="B127" s="165" t="s">
        <v>758</v>
      </c>
      <c r="C127" s="157" t="s">
        <v>439</v>
      </c>
      <c r="D127" s="157" t="s">
        <v>189</v>
      </c>
      <c r="E127" s="157">
        <v>28</v>
      </c>
      <c r="F127" s="218" t="s">
        <v>497</v>
      </c>
      <c r="G127" s="211">
        <v>819</v>
      </c>
      <c r="H127" s="161"/>
    </row>
    <row r="128" spans="1:12" ht="15" customHeight="1" x14ac:dyDescent="0.25">
      <c r="A128" s="1" t="s">
        <v>591</v>
      </c>
      <c r="B128" s="165" t="s">
        <v>759</v>
      </c>
      <c r="C128" s="157" t="s">
        <v>439</v>
      </c>
      <c r="D128" s="161" t="s">
        <v>189</v>
      </c>
      <c r="E128" s="161">
        <v>32</v>
      </c>
      <c r="F128" s="218" t="s">
        <v>497</v>
      </c>
      <c r="G128" s="211">
        <v>918.75</v>
      </c>
      <c r="H128" s="161" t="s">
        <v>305</v>
      </c>
    </row>
    <row r="129" spans="1:11" ht="15" customHeight="1" x14ac:dyDescent="0.25">
      <c r="A129" s="1" t="s">
        <v>592</v>
      </c>
      <c r="B129" s="165" t="s">
        <v>760</v>
      </c>
      <c r="C129" s="157" t="s">
        <v>439</v>
      </c>
      <c r="D129" s="161" t="s">
        <v>189</v>
      </c>
      <c r="E129" s="161">
        <v>210</v>
      </c>
      <c r="F129" s="218" t="s">
        <v>497</v>
      </c>
      <c r="G129" s="162">
        <v>1065</v>
      </c>
      <c r="H129" s="161"/>
    </row>
    <row r="130" spans="1:11" ht="15" customHeight="1" x14ac:dyDescent="0.25">
      <c r="A130" s="185" t="s">
        <v>593</v>
      </c>
      <c r="B130" s="194" t="s">
        <v>399</v>
      </c>
      <c r="C130" s="195" t="s">
        <v>438</v>
      </c>
      <c r="D130" s="196" t="s">
        <v>202</v>
      </c>
      <c r="E130" s="196"/>
      <c r="F130" s="196" t="s">
        <v>497</v>
      </c>
      <c r="G130" s="169" t="s">
        <v>497</v>
      </c>
      <c r="H130" s="161"/>
    </row>
    <row r="131" spans="1:11" ht="15" customHeight="1" x14ac:dyDescent="0.25">
      <c r="A131" s="185" t="s">
        <v>594</v>
      </c>
      <c r="B131" s="194" t="s">
        <v>398</v>
      </c>
      <c r="C131" s="195" t="s">
        <v>438</v>
      </c>
      <c r="D131" s="196" t="s">
        <v>202</v>
      </c>
      <c r="E131" s="196"/>
      <c r="F131" s="196" t="s">
        <v>497</v>
      </c>
      <c r="G131" s="169" t="s">
        <v>497</v>
      </c>
      <c r="H131" s="161"/>
    </row>
    <row r="132" spans="1:11" ht="15" customHeight="1" x14ac:dyDescent="0.25">
      <c r="A132" s="212" t="s">
        <v>595</v>
      </c>
      <c r="B132" s="213" t="s">
        <v>498</v>
      </c>
      <c r="C132" s="217" t="s">
        <v>439</v>
      </c>
      <c r="D132" s="163" t="s">
        <v>189</v>
      </c>
      <c r="E132" s="163"/>
      <c r="F132" s="163"/>
      <c r="G132" s="214" t="s">
        <v>497</v>
      </c>
      <c r="H132" s="161"/>
    </row>
    <row r="133" spans="1:11" ht="15" customHeight="1" x14ac:dyDescent="0.25">
      <c r="A133" s="212" t="s">
        <v>596</v>
      </c>
      <c r="B133" s="213" t="s">
        <v>423</v>
      </c>
      <c r="C133" s="217" t="s">
        <v>439</v>
      </c>
      <c r="D133" s="163" t="s">
        <v>189</v>
      </c>
      <c r="E133" s="163"/>
      <c r="F133" s="163"/>
      <c r="G133" s="214">
        <v>1616.6822867853775</v>
      </c>
      <c r="H133" s="161"/>
      <c r="K133" t="s">
        <v>384</v>
      </c>
    </row>
    <row r="134" spans="1:11" ht="15" customHeight="1" x14ac:dyDescent="0.25">
      <c r="A134" s="212" t="s">
        <v>597</v>
      </c>
      <c r="B134" s="213" t="s">
        <v>424</v>
      </c>
      <c r="C134" s="217" t="s">
        <v>439</v>
      </c>
      <c r="D134" s="163" t="s">
        <v>189</v>
      </c>
      <c r="E134" s="163"/>
      <c r="F134" s="163"/>
      <c r="G134" s="214">
        <v>1616.6822867853775</v>
      </c>
      <c r="H134" s="161"/>
      <c r="K134" t="s">
        <v>384</v>
      </c>
    </row>
    <row r="135" spans="1:11" ht="15" customHeight="1" x14ac:dyDescent="0.25">
      <c r="A135" s="212" t="s">
        <v>598</v>
      </c>
      <c r="B135" s="213" t="s">
        <v>425</v>
      </c>
      <c r="C135" s="217" t="s">
        <v>439</v>
      </c>
      <c r="D135" s="163" t="s">
        <v>189</v>
      </c>
      <c r="E135" s="163"/>
      <c r="F135" s="163"/>
      <c r="G135" s="214"/>
      <c r="H135" s="161"/>
      <c r="K135" t="s">
        <v>384</v>
      </c>
    </row>
    <row r="136" spans="1:11" ht="15" customHeight="1" x14ac:dyDescent="0.25">
      <c r="A136" s="212" t="s">
        <v>599</v>
      </c>
      <c r="B136" s="213" t="s">
        <v>426</v>
      </c>
      <c r="C136" s="217" t="s">
        <v>439</v>
      </c>
      <c r="D136" s="163" t="s">
        <v>189</v>
      </c>
      <c r="E136" s="163"/>
      <c r="F136" s="163"/>
      <c r="G136" s="214"/>
      <c r="H136" s="161"/>
      <c r="K136" t="s">
        <v>384</v>
      </c>
    </row>
    <row r="137" spans="1:11" ht="15" customHeight="1" x14ac:dyDescent="0.25">
      <c r="A137" s="212" t="s">
        <v>600</v>
      </c>
      <c r="B137" s="213" t="s">
        <v>920</v>
      </c>
      <c r="C137" s="217" t="s">
        <v>439</v>
      </c>
      <c r="D137" s="163" t="s">
        <v>189</v>
      </c>
      <c r="E137" s="163"/>
      <c r="F137" s="163"/>
      <c r="G137" s="214"/>
      <c r="H137" s="161"/>
    </row>
    <row r="138" spans="1:11" ht="15" customHeight="1" x14ac:dyDescent="0.25">
      <c r="A138" s="212" t="s">
        <v>601</v>
      </c>
      <c r="B138" s="213" t="s">
        <v>921</v>
      </c>
      <c r="C138" s="217" t="s">
        <v>439</v>
      </c>
      <c r="D138" s="163" t="s">
        <v>189</v>
      </c>
      <c r="E138" s="163"/>
      <c r="F138" s="163"/>
      <c r="G138" s="214"/>
      <c r="H138" s="161"/>
    </row>
    <row r="139" spans="1:11" ht="15" customHeight="1" x14ac:dyDescent="0.25">
      <c r="A139" s="212" t="s">
        <v>602</v>
      </c>
      <c r="B139" s="213" t="s">
        <v>922</v>
      </c>
      <c r="C139" s="217" t="s">
        <v>439</v>
      </c>
      <c r="D139" s="163" t="s">
        <v>189</v>
      </c>
      <c r="E139" s="163"/>
      <c r="F139" s="163"/>
      <c r="G139" s="214"/>
      <c r="H139" s="161"/>
    </row>
    <row r="140" spans="1:11" ht="15" customHeight="1" x14ac:dyDescent="0.25">
      <c r="A140" s="212" t="s">
        <v>603</v>
      </c>
      <c r="B140" s="213" t="s">
        <v>923</v>
      </c>
      <c r="C140" s="217" t="s">
        <v>439</v>
      </c>
      <c r="D140" s="163" t="s">
        <v>189</v>
      </c>
      <c r="E140" s="163"/>
      <c r="F140" s="163"/>
      <c r="G140" s="214"/>
      <c r="H140" s="161"/>
    </row>
    <row r="141" spans="1:11" ht="15" customHeight="1" x14ac:dyDescent="0.25">
      <c r="A141" s="212" t="s">
        <v>604</v>
      </c>
      <c r="B141" s="213" t="s">
        <v>924</v>
      </c>
      <c r="C141" s="217" t="s">
        <v>439</v>
      </c>
      <c r="D141" s="163" t="s">
        <v>189</v>
      </c>
      <c r="E141" s="163"/>
      <c r="F141" s="163"/>
      <c r="G141" s="214"/>
      <c r="H141" s="161"/>
    </row>
    <row r="142" spans="1:11" ht="15" customHeight="1" x14ac:dyDescent="0.25">
      <c r="A142" s="212" t="s">
        <v>605</v>
      </c>
      <c r="B142" s="213" t="s">
        <v>925</v>
      </c>
      <c r="C142" s="217" t="s">
        <v>439</v>
      </c>
      <c r="D142" s="163" t="s">
        <v>189</v>
      </c>
      <c r="E142" s="163"/>
      <c r="F142" s="163"/>
      <c r="G142" s="214"/>
      <c r="H142" s="161"/>
    </row>
    <row r="143" spans="1:11" ht="15" customHeight="1" x14ac:dyDescent="0.25">
      <c r="A143" s="212" t="s">
        <v>606</v>
      </c>
      <c r="B143" s="213" t="s">
        <v>926</v>
      </c>
      <c r="C143" s="217" t="s">
        <v>439</v>
      </c>
      <c r="D143" s="163" t="s">
        <v>189</v>
      </c>
      <c r="E143" s="163"/>
      <c r="F143" s="163"/>
      <c r="G143" s="214"/>
      <c r="H143" s="161"/>
    </row>
    <row r="144" spans="1:11" ht="15" customHeight="1" x14ac:dyDescent="0.25">
      <c r="A144" s="212" t="s">
        <v>607</v>
      </c>
      <c r="B144" s="213" t="s">
        <v>927</v>
      </c>
      <c r="C144" s="217" t="s">
        <v>439</v>
      </c>
      <c r="D144" s="163" t="s">
        <v>189</v>
      </c>
      <c r="E144" s="163"/>
      <c r="F144" s="163"/>
      <c r="G144" s="214"/>
      <c r="H144" s="161"/>
    </row>
    <row r="145" spans="1:8" ht="15" customHeight="1" x14ac:dyDescent="0.25">
      <c r="A145" s="212" t="s">
        <v>608</v>
      </c>
      <c r="B145" s="213" t="s">
        <v>928</v>
      </c>
      <c r="C145" s="217" t="s">
        <v>439</v>
      </c>
      <c r="D145" s="163" t="s">
        <v>189</v>
      </c>
      <c r="E145" s="163"/>
      <c r="F145" s="163"/>
      <c r="G145" s="214"/>
      <c r="H145" s="161"/>
    </row>
    <row r="146" spans="1:8" ht="15" customHeight="1" x14ac:dyDescent="0.25">
      <c r="A146" s="212" t="s">
        <v>609</v>
      </c>
      <c r="B146" s="213" t="s">
        <v>929</v>
      </c>
      <c r="C146" s="217" t="s">
        <v>439</v>
      </c>
      <c r="D146" s="163" t="s">
        <v>189</v>
      </c>
      <c r="E146" s="163"/>
      <c r="F146" s="163"/>
      <c r="G146" s="214"/>
      <c r="H146" s="161"/>
    </row>
    <row r="147" spans="1:8" ht="15" customHeight="1" x14ac:dyDescent="0.25">
      <c r="A147" s="212" t="s">
        <v>610</v>
      </c>
      <c r="B147" s="213" t="s">
        <v>930</v>
      </c>
      <c r="C147" s="217" t="s">
        <v>439</v>
      </c>
      <c r="D147" s="163" t="s">
        <v>189</v>
      </c>
      <c r="E147" s="163"/>
      <c r="F147" s="163"/>
      <c r="G147" s="214">
        <f>31000/1.65/9.8</f>
        <v>1917.1304885590598</v>
      </c>
      <c r="H147" s="161"/>
    </row>
    <row r="148" spans="1:8" ht="15" customHeight="1" x14ac:dyDescent="0.25">
      <c r="A148" s="212" t="s">
        <v>611</v>
      </c>
      <c r="B148" s="213" t="s">
        <v>931</v>
      </c>
      <c r="C148" s="217" t="s">
        <v>439</v>
      </c>
      <c r="D148" s="163" t="s">
        <v>189</v>
      </c>
      <c r="E148" s="163"/>
      <c r="F148" s="163"/>
      <c r="G148" s="214"/>
      <c r="H148" s="161"/>
    </row>
    <row r="149" spans="1:8" ht="15" customHeight="1" x14ac:dyDescent="0.25">
      <c r="A149" s="212" t="s">
        <v>612</v>
      </c>
      <c r="B149" s="213" t="s">
        <v>932</v>
      </c>
      <c r="C149" s="217" t="s">
        <v>439</v>
      </c>
      <c r="D149" s="163" t="s">
        <v>189</v>
      </c>
      <c r="E149" s="163"/>
      <c r="F149" s="163"/>
      <c r="G149" s="214"/>
      <c r="H149" s="161"/>
    </row>
    <row r="150" spans="1:8" ht="15" customHeight="1" x14ac:dyDescent="0.25">
      <c r="A150" s="212" t="s">
        <v>613</v>
      </c>
      <c r="B150" s="213" t="s">
        <v>933</v>
      </c>
      <c r="C150" s="217" t="s">
        <v>439</v>
      </c>
      <c r="D150" s="163" t="s">
        <v>189</v>
      </c>
      <c r="E150" s="163"/>
      <c r="F150" s="163"/>
      <c r="G150" s="214"/>
      <c r="H150" s="161"/>
    </row>
    <row r="151" spans="1:8" ht="15" customHeight="1" x14ac:dyDescent="0.25">
      <c r="A151" s="212" t="s">
        <v>614</v>
      </c>
      <c r="B151" s="213" t="s">
        <v>934</v>
      </c>
      <c r="C151" s="217" t="s">
        <v>439</v>
      </c>
      <c r="D151" s="163" t="s">
        <v>189</v>
      </c>
      <c r="E151" s="163"/>
      <c r="F151" s="163"/>
      <c r="G151" s="214"/>
      <c r="H151" s="161"/>
    </row>
    <row r="152" spans="1:8" ht="15" customHeight="1" x14ac:dyDescent="0.25">
      <c r="A152" s="212" t="s">
        <v>615</v>
      </c>
      <c r="B152" s="213" t="s">
        <v>935</v>
      </c>
      <c r="C152" s="217" t="s">
        <v>439</v>
      </c>
      <c r="D152" s="163" t="s">
        <v>189</v>
      </c>
      <c r="E152" s="163"/>
      <c r="F152" s="163"/>
      <c r="G152" s="214"/>
      <c r="H152" s="161"/>
    </row>
    <row r="153" spans="1:8" ht="15" customHeight="1" x14ac:dyDescent="0.25">
      <c r="A153" s="212" t="s">
        <v>616</v>
      </c>
      <c r="B153" s="213" t="s">
        <v>936</v>
      </c>
      <c r="C153" s="217" t="s">
        <v>439</v>
      </c>
      <c r="D153" s="163" t="s">
        <v>189</v>
      </c>
      <c r="E153" s="163"/>
      <c r="F153" s="163"/>
      <c r="G153" s="214">
        <f>22000/9.8/1.6</f>
        <v>1403.0612244897957</v>
      </c>
      <c r="H153" s="161"/>
    </row>
    <row r="154" spans="1:8" ht="15" customHeight="1" x14ac:dyDescent="0.25">
      <c r="A154" s="212" t="s">
        <v>617</v>
      </c>
      <c r="B154" s="213" t="s">
        <v>937</v>
      </c>
      <c r="C154" s="217" t="s">
        <v>439</v>
      </c>
      <c r="D154" s="163" t="s">
        <v>189</v>
      </c>
      <c r="E154" s="163"/>
      <c r="F154" s="163"/>
      <c r="G154" s="214">
        <f>22000/9.8/1.6</f>
        <v>1403.0612244897957</v>
      </c>
      <c r="H154" s="161"/>
    </row>
    <row r="155" spans="1:8" ht="15" customHeight="1" x14ac:dyDescent="0.25">
      <c r="A155" s="212" t="s">
        <v>618</v>
      </c>
      <c r="B155" s="213" t="s">
        <v>938</v>
      </c>
      <c r="C155" s="217" t="s">
        <v>439</v>
      </c>
      <c r="D155" s="163" t="s">
        <v>189</v>
      </c>
      <c r="E155" s="163"/>
      <c r="F155" s="163"/>
      <c r="G155" s="214">
        <f>25000/1.6/9.8</f>
        <v>1594.3877551020407</v>
      </c>
      <c r="H155" s="161"/>
    </row>
    <row r="156" spans="1:8" ht="15" customHeight="1" x14ac:dyDescent="0.25">
      <c r="A156" s="212" t="s">
        <v>619</v>
      </c>
      <c r="B156" s="213" t="s">
        <v>939</v>
      </c>
      <c r="C156" s="217" t="s">
        <v>439</v>
      </c>
      <c r="D156" s="163" t="s">
        <v>189</v>
      </c>
      <c r="E156" s="163"/>
      <c r="F156" s="163"/>
      <c r="G156" s="214"/>
      <c r="H156" s="161"/>
    </row>
    <row r="157" spans="1:8" ht="15" customHeight="1" x14ac:dyDescent="0.25">
      <c r="A157" s="212" t="s">
        <v>620</v>
      </c>
      <c r="B157" s="213" t="s">
        <v>940</v>
      </c>
      <c r="C157" s="217" t="s">
        <v>439</v>
      </c>
      <c r="D157" s="163" t="s">
        <v>189</v>
      </c>
      <c r="E157" s="163"/>
      <c r="F157" s="163"/>
      <c r="G157" s="214"/>
      <c r="H157" s="161"/>
    </row>
    <row r="158" spans="1:8" ht="15" customHeight="1" x14ac:dyDescent="0.25">
      <c r="A158" s="212" t="s">
        <v>621</v>
      </c>
      <c r="B158" s="213" t="s">
        <v>941</v>
      </c>
      <c r="C158" s="217" t="s">
        <v>439</v>
      </c>
      <c r="D158" s="163" t="s">
        <v>189</v>
      </c>
      <c r="E158" s="163"/>
      <c r="F158" s="163"/>
      <c r="G158" s="214"/>
      <c r="H158" s="161"/>
    </row>
    <row r="159" spans="1:8" ht="15" customHeight="1" x14ac:dyDescent="0.25">
      <c r="A159" s="212" t="s">
        <v>622</v>
      </c>
      <c r="B159" s="213" t="s">
        <v>942</v>
      </c>
      <c r="C159" s="217" t="s">
        <v>439</v>
      </c>
      <c r="D159" s="163" t="s">
        <v>189</v>
      </c>
      <c r="E159" s="163"/>
      <c r="F159" s="163"/>
      <c r="G159" s="214"/>
      <c r="H159" s="161"/>
    </row>
    <row r="160" spans="1:8" ht="15" customHeight="1" x14ac:dyDescent="0.25">
      <c r="A160" s="212" t="s">
        <v>623</v>
      </c>
      <c r="B160" s="213" t="s">
        <v>943</v>
      </c>
      <c r="C160" s="217" t="s">
        <v>439</v>
      </c>
      <c r="D160" s="163" t="s">
        <v>189</v>
      </c>
      <c r="E160" s="163"/>
      <c r="F160" s="163"/>
      <c r="G160" s="214"/>
      <c r="H160" s="161" t="s">
        <v>306</v>
      </c>
    </row>
    <row r="161" spans="1:11" ht="15" customHeight="1" x14ac:dyDescent="0.25">
      <c r="A161" s="1" t="s">
        <v>624</v>
      </c>
      <c r="B161" s="165" t="s">
        <v>482</v>
      </c>
      <c r="C161" s="157" t="s">
        <v>446</v>
      </c>
      <c r="D161" s="161" t="s">
        <v>189</v>
      </c>
      <c r="E161" s="161">
        <v>1</v>
      </c>
      <c r="F161" s="161" t="s">
        <v>497</v>
      </c>
      <c r="G161" s="181">
        <v>1.8</v>
      </c>
      <c r="H161" s="161" t="s">
        <v>306</v>
      </c>
    </row>
    <row r="162" spans="1:11" ht="15" customHeight="1" x14ac:dyDescent="0.25">
      <c r="A162" s="1" t="s">
        <v>625</v>
      </c>
      <c r="B162" s="165" t="s">
        <v>483</v>
      </c>
      <c r="C162" s="157" t="s">
        <v>446</v>
      </c>
      <c r="D162" s="161" t="s">
        <v>189</v>
      </c>
      <c r="E162" s="161">
        <v>1</v>
      </c>
      <c r="F162" s="161" t="s">
        <v>497</v>
      </c>
      <c r="G162" s="181">
        <v>1.8</v>
      </c>
      <c r="H162" s="161" t="s">
        <v>306</v>
      </c>
    </row>
    <row r="163" spans="1:11" ht="15" customHeight="1" x14ac:dyDescent="0.25">
      <c r="A163" s="1" t="s">
        <v>626</v>
      </c>
      <c r="B163" s="165" t="s">
        <v>487</v>
      </c>
      <c r="C163" s="157" t="s">
        <v>446</v>
      </c>
      <c r="D163" s="161" t="s">
        <v>202</v>
      </c>
      <c r="E163" s="161">
        <v>1</v>
      </c>
      <c r="F163" s="161" t="s">
        <v>497</v>
      </c>
      <c r="G163" s="181">
        <v>2</v>
      </c>
      <c r="H163" s="161" t="s">
        <v>306</v>
      </c>
    </row>
    <row r="164" spans="1:11" ht="15" customHeight="1" x14ac:dyDescent="0.25">
      <c r="A164" s="1" t="s">
        <v>627</v>
      </c>
      <c r="B164" s="165" t="s">
        <v>491</v>
      </c>
      <c r="C164" s="157" t="s">
        <v>440</v>
      </c>
      <c r="D164" s="161" t="s">
        <v>189</v>
      </c>
      <c r="E164" s="161">
        <v>135</v>
      </c>
      <c r="F164" s="161" t="s">
        <v>472</v>
      </c>
      <c r="G164" s="181">
        <v>382</v>
      </c>
      <c r="H164" s="161" t="s">
        <v>306</v>
      </c>
    </row>
    <row r="165" spans="1:11" ht="15" customHeight="1" x14ac:dyDescent="0.25">
      <c r="A165" s="1" t="s">
        <v>628</v>
      </c>
      <c r="B165" s="165" t="s">
        <v>492</v>
      </c>
      <c r="C165" s="157" t="s">
        <v>440</v>
      </c>
      <c r="D165" s="161" t="s">
        <v>189</v>
      </c>
      <c r="E165" s="161">
        <v>135</v>
      </c>
      <c r="F165" s="161" t="s">
        <v>645</v>
      </c>
      <c r="G165" s="181">
        <v>300</v>
      </c>
      <c r="H165" s="161" t="s">
        <v>306</v>
      </c>
    </row>
    <row r="166" spans="1:11" ht="15" customHeight="1" x14ac:dyDescent="0.25">
      <c r="A166" s="1" t="s">
        <v>629</v>
      </c>
      <c r="B166" s="165" t="s">
        <v>493</v>
      </c>
      <c r="C166" s="157" t="s">
        <v>441</v>
      </c>
      <c r="D166" s="161" t="s">
        <v>189</v>
      </c>
      <c r="E166" s="161">
        <v>110</v>
      </c>
      <c r="F166" s="161" t="s">
        <v>472</v>
      </c>
      <c r="G166" s="181">
        <v>720</v>
      </c>
      <c r="H166" s="161"/>
    </row>
    <row r="167" spans="1:11" ht="15" customHeight="1" x14ac:dyDescent="0.25">
      <c r="A167" s="140" t="s">
        <v>630</v>
      </c>
      <c r="B167" s="165" t="s">
        <v>500</v>
      </c>
      <c r="C167" s="157" t="s">
        <v>446</v>
      </c>
      <c r="D167" s="161" t="s">
        <v>189</v>
      </c>
      <c r="E167" s="161">
        <v>15</v>
      </c>
      <c r="G167" s="181">
        <v>25</v>
      </c>
      <c r="H167" s="161"/>
      <c r="J167">
        <f>19800/1040</f>
        <v>19.03846153846154</v>
      </c>
    </row>
    <row r="168" spans="1:11" ht="15" customHeight="1" x14ac:dyDescent="0.25">
      <c r="A168" s="140" t="s">
        <v>631</v>
      </c>
      <c r="B168" s="165" t="s">
        <v>505</v>
      </c>
      <c r="C168" s="157" t="s">
        <v>440</v>
      </c>
      <c r="D168" s="161" t="s">
        <v>189</v>
      </c>
      <c r="E168" s="161">
        <v>145</v>
      </c>
      <c r="F168" s="161" t="s">
        <v>472</v>
      </c>
      <c r="G168" s="181">
        <v>282.74359827070168</v>
      </c>
      <c r="H168" s="161"/>
      <c r="J168">
        <f>1300*J167</f>
        <v>24750.000000000004</v>
      </c>
    </row>
    <row r="169" spans="1:11" ht="15" customHeight="1" x14ac:dyDescent="0.25">
      <c r="A169" s="140" t="s">
        <v>632</v>
      </c>
      <c r="B169" s="165" t="s">
        <v>506</v>
      </c>
      <c r="C169" s="157" t="s">
        <v>440</v>
      </c>
      <c r="D169" s="161" t="s">
        <v>189</v>
      </c>
      <c r="E169" s="161">
        <v>140</v>
      </c>
      <c r="F169" s="161" t="s">
        <v>472</v>
      </c>
      <c r="G169" s="181">
        <v>216.2321250415697</v>
      </c>
      <c r="H169" s="161"/>
    </row>
    <row r="170" spans="1:11" ht="15" customHeight="1" x14ac:dyDescent="0.25">
      <c r="A170" s="140" t="s">
        <v>633</v>
      </c>
      <c r="B170" s="165" t="s">
        <v>504</v>
      </c>
      <c r="C170" s="157" t="s">
        <v>441</v>
      </c>
      <c r="D170" s="161" t="s">
        <v>189</v>
      </c>
      <c r="E170" s="161">
        <v>38</v>
      </c>
      <c r="F170" s="161" t="s">
        <v>472</v>
      </c>
      <c r="G170" s="181">
        <v>469.0222813435318</v>
      </c>
      <c r="H170" s="161"/>
    </row>
    <row r="171" spans="1:11" ht="15" customHeight="1" x14ac:dyDescent="0.25">
      <c r="A171" s="1" t="s">
        <v>634</v>
      </c>
      <c r="B171" s="165" t="s">
        <v>635</v>
      </c>
      <c r="C171" s="157" t="s">
        <v>440</v>
      </c>
      <c r="D171" s="161" t="s">
        <v>189</v>
      </c>
      <c r="E171" s="161">
        <v>145</v>
      </c>
      <c r="F171" s="161" t="s">
        <v>472</v>
      </c>
      <c r="G171" s="162">
        <v>388.62817026121064</v>
      </c>
      <c r="H171" s="161"/>
      <c r="K171" t="s">
        <v>384</v>
      </c>
    </row>
    <row r="172" spans="1:11" ht="15" customHeight="1" x14ac:dyDescent="0.25">
      <c r="A172" s="1" t="s">
        <v>636</v>
      </c>
      <c r="B172" s="165" t="s">
        <v>637</v>
      </c>
      <c r="C172" s="157" t="s">
        <v>440</v>
      </c>
      <c r="D172" s="161" t="s">
        <v>189</v>
      </c>
      <c r="E172" s="161">
        <v>140</v>
      </c>
      <c r="F172" s="161" t="s">
        <v>472</v>
      </c>
      <c r="G172" s="162">
        <v>588.83056100183421</v>
      </c>
      <c r="H172" s="161"/>
      <c r="K172" t="s">
        <v>384</v>
      </c>
    </row>
    <row r="173" spans="1:11" ht="15" customHeight="1" x14ac:dyDescent="0.25">
      <c r="A173" s="1" t="s">
        <v>638</v>
      </c>
      <c r="B173" s="165" t="s">
        <v>639</v>
      </c>
      <c r="C173" s="157" t="s">
        <v>441</v>
      </c>
      <c r="D173" s="161" t="s">
        <v>189</v>
      </c>
      <c r="E173" s="161">
        <v>1</v>
      </c>
      <c r="F173" s="218" t="s">
        <v>497</v>
      </c>
      <c r="G173" s="162">
        <v>53.760040478148127</v>
      </c>
      <c r="H173" s="161"/>
      <c r="K173" t="s">
        <v>384</v>
      </c>
    </row>
    <row r="174" spans="1:11" ht="15" customHeight="1" x14ac:dyDescent="0.25">
      <c r="A174" s="1" t="s">
        <v>640</v>
      </c>
      <c r="B174" s="165" t="s">
        <v>494</v>
      </c>
      <c r="C174" s="159" t="s">
        <v>440</v>
      </c>
      <c r="D174" s="161" t="s">
        <v>189</v>
      </c>
      <c r="E174" s="161">
        <v>135</v>
      </c>
      <c r="F174" s="161" t="s">
        <v>472</v>
      </c>
      <c r="G174" s="181">
        <v>390</v>
      </c>
      <c r="H174" s="161"/>
    </row>
    <row r="175" spans="1:11" ht="15" customHeight="1" x14ac:dyDescent="0.25">
      <c r="A175" s="1" t="s">
        <v>641</v>
      </c>
      <c r="B175" s="165" t="s">
        <v>495</v>
      </c>
      <c r="C175" s="159" t="s">
        <v>440</v>
      </c>
      <c r="D175" s="161" t="s">
        <v>189</v>
      </c>
      <c r="E175" s="161">
        <v>135</v>
      </c>
      <c r="F175" s="161" t="s">
        <v>645</v>
      </c>
      <c r="G175" s="181">
        <v>305</v>
      </c>
      <c r="H175" s="161"/>
    </row>
    <row r="176" spans="1:11" ht="15" customHeight="1" x14ac:dyDescent="0.25">
      <c r="A176" s="1" t="s">
        <v>642</v>
      </c>
      <c r="B176" s="165" t="s">
        <v>496</v>
      </c>
      <c r="C176" s="159" t="s">
        <v>441</v>
      </c>
      <c r="D176" s="161" t="s">
        <v>189</v>
      </c>
      <c r="E176" s="161">
        <v>110</v>
      </c>
      <c r="F176" s="161" t="s">
        <v>472</v>
      </c>
      <c r="G176" s="181">
        <v>750</v>
      </c>
      <c r="H176" s="161"/>
    </row>
    <row r="177" spans="1:8" ht="15" customHeight="1" x14ac:dyDescent="0.25">
      <c r="A177" s="1" t="s">
        <v>643</v>
      </c>
      <c r="B177" s="165" t="s">
        <v>644</v>
      </c>
      <c r="C177" s="159" t="s">
        <v>446</v>
      </c>
      <c r="D177" s="161" t="s">
        <v>189</v>
      </c>
      <c r="E177" s="161">
        <v>15</v>
      </c>
      <c r="F177" s="161" t="s">
        <v>646</v>
      </c>
      <c r="G177" s="181">
        <v>78</v>
      </c>
      <c r="H177" s="161"/>
    </row>
    <row r="178" spans="1:8" ht="15" customHeight="1" x14ac:dyDescent="0.25">
      <c r="A178" s="210" t="s">
        <v>821</v>
      </c>
      <c r="B178" s="165" t="s">
        <v>944</v>
      </c>
      <c r="C178" s="159" t="s">
        <v>849</v>
      </c>
      <c r="D178" s="161" t="s">
        <v>202</v>
      </c>
      <c r="E178" s="161"/>
      <c r="F178" s="161" t="s">
        <v>645</v>
      </c>
      <c r="G178" s="181">
        <f>7*275</f>
        <v>1925</v>
      </c>
      <c r="H178" s="161"/>
    </row>
    <row r="179" spans="1:8" ht="15" customHeight="1" x14ac:dyDescent="0.25">
      <c r="A179" s="210" t="s">
        <v>822</v>
      </c>
      <c r="B179" s="165" t="s">
        <v>945</v>
      </c>
      <c r="C179" s="159" t="s">
        <v>849</v>
      </c>
      <c r="D179" s="161" t="s">
        <v>202</v>
      </c>
      <c r="E179" s="161"/>
      <c r="F179" s="161" t="s">
        <v>645</v>
      </c>
      <c r="G179" s="181">
        <f t="shared" ref="G179:G181" si="5">7*275</f>
        <v>1925</v>
      </c>
      <c r="H179" s="161"/>
    </row>
    <row r="180" spans="1:8" ht="15" customHeight="1" x14ac:dyDescent="0.25">
      <c r="A180" s="210" t="s">
        <v>823</v>
      </c>
      <c r="B180" s="165" t="s">
        <v>946</v>
      </c>
      <c r="C180" s="159" t="s">
        <v>849</v>
      </c>
      <c r="D180" s="161" t="s">
        <v>202</v>
      </c>
      <c r="E180" s="161"/>
      <c r="F180" s="161" t="s">
        <v>645</v>
      </c>
      <c r="G180" s="181">
        <f t="shared" si="5"/>
        <v>1925</v>
      </c>
      <c r="H180" s="161"/>
    </row>
    <row r="181" spans="1:8" ht="15" customHeight="1" x14ac:dyDescent="0.25">
      <c r="A181" s="210" t="s">
        <v>824</v>
      </c>
      <c r="B181" s="165" t="s">
        <v>947</v>
      </c>
      <c r="C181" s="159" t="s">
        <v>849</v>
      </c>
      <c r="D181" s="161" t="s">
        <v>202</v>
      </c>
      <c r="E181" s="161"/>
      <c r="F181" s="161" t="s">
        <v>645</v>
      </c>
      <c r="G181" s="181">
        <f t="shared" si="5"/>
        <v>1925</v>
      </c>
      <c r="H181" s="161"/>
    </row>
    <row r="182" spans="1:8" ht="15" customHeight="1" x14ac:dyDescent="0.25">
      <c r="A182" s="210" t="s">
        <v>825</v>
      </c>
      <c r="B182" s="165" t="s">
        <v>948</v>
      </c>
      <c r="C182" s="159" t="s">
        <v>849</v>
      </c>
      <c r="D182" s="161" t="s">
        <v>202</v>
      </c>
      <c r="E182" s="161"/>
      <c r="F182" s="161" t="s">
        <v>645</v>
      </c>
      <c r="G182" s="181">
        <f>+G178+3*275</f>
        <v>2750</v>
      </c>
      <c r="H182" s="161"/>
    </row>
    <row r="183" spans="1:8" ht="15" customHeight="1" x14ac:dyDescent="0.25">
      <c r="A183" s="210" t="s">
        <v>826</v>
      </c>
      <c r="B183" s="165" t="s">
        <v>949</v>
      </c>
      <c r="C183" s="159" t="s">
        <v>849</v>
      </c>
      <c r="D183" s="161" t="s">
        <v>202</v>
      </c>
      <c r="E183" s="161"/>
      <c r="F183" s="161" t="s">
        <v>645</v>
      </c>
      <c r="G183" s="181">
        <f t="shared" ref="G183:G205" si="6">+G179+3*275</f>
        <v>2750</v>
      </c>
      <c r="H183" s="161"/>
    </row>
    <row r="184" spans="1:8" ht="15" customHeight="1" x14ac:dyDescent="0.25">
      <c r="A184" s="210" t="s">
        <v>827</v>
      </c>
      <c r="B184" s="165" t="s">
        <v>950</v>
      </c>
      <c r="C184" s="159" t="s">
        <v>849</v>
      </c>
      <c r="D184" s="161" t="s">
        <v>202</v>
      </c>
      <c r="E184" s="161"/>
      <c r="F184" s="161" t="s">
        <v>645</v>
      </c>
      <c r="G184" s="181">
        <f t="shared" si="6"/>
        <v>2750</v>
      </c>
      <c r="H184" s="161"/>
    </row>
    <row r="185" spans="1:8" ht="15" customHeight="1" x14ac:dyDescent="0.25">
      <c r="A185" s="210" t="s">
        <v>828</v>
      </c>
      <c r="B185" s="165" t="s">
        <v>951</v>
      </c>
      <c r="C185" s="159" t="s">
        <v>849</v>
      </c>
      <c r="D185" s="161" t="s">
        <v>202</v>
      </c>
      <c r="E185" s="161"/>
      <c r="F185" s="161" t="s">
        <v>645</v>
      </c>
      <c r="G185" s="181">
        <f t="shared" si="6"/>
        <v>2750</v>
      </c>
      <c r="H185" s="161"/>
    </row>
    <row r="186" spans="1:8" ht="15" customHeight="1" x14ac:dyDescent="0.25">
      <c r="A186" s="210" t="s">
        <v>829</v>
      </c>
      <c r="B186" s="165" t="s">
        <v>952</v>
      </c>
      <c r="C186" s="159" t="s">
        <v>849</v>
      </c>
      <c r="D186" s="161" t="s">
        <v>202</v>
      </c>
      <c r="E186" s="161"/>
      <c r="F186" s="161" t="s">
        <v>645</v>
      </c>
      <c r="G186" s="181">
        <f t="shared" si="6"/>
        <v>3575</v>
      </c>
      <c r="H186" s="161"/>
    </row>
    <row r="187" spans="1:8" ht="15" customHeight="1" x14ac:dyDescent="0.25">
      <c r="A187" s="210" t="s">
        <v>830</v>
      </c>
      <c r="B187" s="165" t="s">
        <v>953</v>
      </c>
      <c r="C187" s="159" t="s">
        <v>849</v>
      </c>
      <c r="D187" s="161" t="s">
        <v>202</v>
      </c>
      <c r="E187" s="161"/>
      <c r="F187" s="161" t="s">
        <v>645</v>
      </c>
      <c r="G187" s="181">
        <f t="shared" si="6"/>
        <v>3575</v>
      </c>
      <c r="H187" s="161"/>
    </row>
    <row r="188" spans="1:8" ht="15" customHeight="1" x14ac:dyDescent="0.25">
      <c r="A188" s="210" t="s">
        <v>831</v>
      </c>
      <c r="B188" s="165" t="s">
        <v>954</v>
      </c>
      <c r="C188" s="159" t="s">
        <v>849</v>
      </c>
      <c r="D188" s="161" t="s">
        <v>202</v>
      </c>
      <c r="E188" s="161"/>
      <c r="F188" s="161" t="s">
        <v>645</v>
      </c>
      <c r="G188" s="181">
        <f t="shared" si="6"/>
        <v>3575</v>
      </c>
      <c r="H188" s="161"/>
    </row>
    <row r="189" spans="1:8" ht="15" customHeight="1" x14ac:dyDescent="0.25">
      <c r="A189" s="210" t="s">
        <v>832</v>
      </c>
      <c r="B189" s="165" t="s">
        <v>955</v>
      </c>
      <c r="C189" s="159" t="s">
        <v>849</v>
      </c>
      <c r="D189" s="161" t="s">
        <v>202</v>
      </c>
      <c r="E189" s="161"/>
      <c r="F189" s="161" t="s">
        <v>645</v>
      </c>
      <c r="G189" s="181">
        <f t="shared" si="6"/>
        <v>3575</v>
      </c>
      <c r="H189" s="161"/>
    </row>
    <row r="190" spans="1:8" ht="15" customHeight="1" x14ac:dyDescent="0.25">
      <c r="A190" s="210" t="s">
        <v>833</v>
      </c>
      <c r="B190" s="165" t="s">
        <v>956</v>
      </c>
      <c r="C190" s="159" t="s">
        <v>849</v>
      </c>
      <c r="D190" s="161" t="s">
        <v>202</v>
      </c>
      <c r="E190" s="161"/>
      <c r="F190" s="161" t="s">
        <v>645</v>
      </c>
      <c r="G190" s="181">
        <f t="shared" si="6"/>
        <v>4400</v>
      </c>
      <c r="H190" s="161"/>
    </row>
    <row r="191" spans="1:8" ht="15" customHeight="1" x14ac:dyDescent="0.25">
      <c r="A191" s="210" t="s">
        <v>834</v>
      </c>
      <c r="B191" s="165" t="s">
        <v>957</v>
      </c>
      <c r="C191" s="159" t="s">
        <v>849</v>
      </c>
      <c r="D191" s="161" t="s">
        <v>202</v>
      </c>
      <c r="E191" s="161"/>
      <c r="F191" s="161" t="s">
        <v>645</v>
      </c>
      <c r="G191" s="181">
        <f t="shared" si="6"/>
        <v>4400</v>
      </c>
      <c r="H191" s="161"/>
    </row>
    <row r="192" spans="1:8" ht="15" customHeight="1" x14ac:dyDescent="0.25">
      <c r="A192" s="210" t="s">
        <v>835</v>
      </c>
      <c r="B192" s="165" t="s">
        <v>958</v>
      </c>
      <c r="C192" s="159" t="s">
        <v>849</v>
      </c>
      <c r="D192" s="161" t="s">
        <v>202</v>
      </c>
      <c r="E192" s="161"/>
      <c r="F192" s="161" t="s">
        <v>645</v>
      </c>
      <c r="G192" s="181">
        <f t="shared" si="6"/>
        <v>4400</v>
      </c>
      <c r="H192" s="161"/>
    </row>
    <row r="193" spans="1:8" ht="15" customHeight="1" x14ac:dyDescent="0.25">
      <c r="A193" s="210" t="s">
        <v>836</v>
      </c>
      <c r="B193" s="165" t="s">
        <v>959</v>
      </c>
      <c r="C193" s="159" t="s">
        <v>849</v>
      </c>
      <c r="D193" s="161" t="s">
        <v>202</v>
      </c>
      <c r="E193" s="161"/>
      <c r="F193" s="161" t="s">
        <v>645</v>
      </c>
      <c r="G193" s="181">
        <f t="shared" si="6"/>
        <v>4400</v>
      </c>
      <c r="H193" s="161"/>
    </row>
    <row r="194" spans="1:8" ht="15" customHeight="1" x14ac:dyDescent="0.25">
      <c r="A194" s="210" t="s">
        <v>837</v>
      </c>
      <c r="B194" s="165" t="s">
        <v>960</v>
      </c>
      <c r="C194" s="159" t="s">
        <v>849</v>
      </c>
      <c r="D194" s="161" t="s">
        <v>202</v>
      </c>
      <c r="E194" s="161"/>
      <c r="F194" s="161" t="s">
        <v>645</v>
      </c>
      <c r="G194" s="181">
        <f t="shared" si="6"/>
        <v>5225</v>
      </c>
      <c r="H194" s="161"/>
    </row>
    <row r="195" spans="1:8" ht="15" customHeight="1" x14ac:dyDescent="0.25">
      <c r="A195" s="210" t="s">
        <v>838</v>
      </c>
      <c r="B195" s="165" t="s">
        <v>961</v>
      </c>
      <c r="C195" s="159" t="s">
        <v>849</v>
      </c>
      <c r="D195" s="161" t="s">
        <v>202</v>
      </c>
      <c r="E195" s="161"/>
      <c r="F195" s="161" t="s">
        <v>645</v>
      </c>
      <c r="G195" s="181">
        <f t="shared" si="6"/>
        <v>5225</v>
      </c>
      <c r="H195" s="161"/>
    </row>
    <row r="196" spans="1:8" ht="15" customHeight="1" x14ac:dyDescent="0.25">
      <c r="A196" s="210" t="s">
        <v>839</v>
      </c>
      <c r="B196" s="165" t="s">
        <v>962</v>
      </c>
      <c r="C196" s="159" t="s">
        <v>849</v>
      </c>
      <c r="D196" s="161" t="s">
        <v>202</v>
      </c>
      <c r="E196" s="161"/>
      <c r="F196" s="161" t="s">
        <v>645</v>
      </c>
      <c r="G196" s="181">
        <f t="shared" si="6"/>
        <v>5225</v>
      </c>
      <c r="H196" s="161"/>
    </row>
    <row r="197" spans="1:8" ht="15" customHeight="1" x14ac:dyDescent="0.25">
      <c r="A197" s="210" t="s">
        <v>840</v>
      </c>
      <c r="B197" s="165" t="s">
        <v>963</v>
      </c>
      <c r="C197" s="159" t="s">
        <v>849</v>
      </c>
      <c r="D197" s="161" t="s">
        <v>202</v>
      </c>
      <c r="E197" s="161"/>
      <c r="F197" s="161" t="s">
        <v>645</v>
      </c>
      <c r="G197" s="181">
        <f t="shared" si="6"/>
        <v>5225</v>
      </c>
      <c r="H197" s="161"/>
    </row>
    <row r="198" spans="1:8" ht="15" customHeight="1" x14ac:dyDescent="0.25">
      <c r="A198" s="210" t="s">
        <v>841</v>
      </c>
      <c r="B198" s="165" t="s">
        <v>964</v>
      </c>
      <c r="C198" s="159" t="s">
        <v>849</v>
      </c>
      <c r="D198" s="161" t="s">
        <v>202</v>
      </c>
      <c r="E198" s="161"/>
      <c r="F198" s="161" t="s">
        <v>645</v>
      </c>
      <c r="G198" s="181">
        <f t="shared" si="6"/>
        <v>6050</v>
      </c>
      <c r="H198" s="161"/>
    </row>
    <row r="199" spans="1:8" ht="15" customHeight="1" x14ac:dyDescent="0.25">
      <c r="A199" s="210" t="s">
        <v>842</v>
      </c>
      <c r="B199" s="165" t="s">
        <v>965</v>
      </c>
      <c r="C199" s="159" t="s">
        <v>849</v>
      </c>
      <c r="D199" s="161" t="s">
        <v>202</v>
      </c>
      <c r="E199" s="161"/>
      <c r="F199" s="161" t="s">
        <v>645</v>
      </c>
      <c r="G199" s="181">
        <f t="shared" si="6"/>
        <v>6050</v>
      </c>
      <c r="H199" s="161"/>
    </row>
    <row r="200" spans="1:8" ht="15" customHeight="1" x14ac:dyDescent="0.25">
      <c r="A200" s="210" t="s">
        <v>843</v>
      </c>
      <c r="B200" s="165" t="s">
        <v>966</v>
      </c>
      <c r="C200" s="159" t="s">
        <v>849</v>
      </c>
      <c r="D200" s="161" t="s">
        <v>202</v>
      </c>
      <c r="E200" s="161"/>
      <c r="F200" s="161" t="s">
        <v>645</v>
      </c>
      <c r="G200" s="181">
        <f t="shared" si="6"/>
        <v>6050</v>
      </c>
      <c r="H200" s="161"/>
    </row>
    <row r="201" spans="1:8" ht="15" customHeight="1" x14ac:dyDescent="0.25">
      <c r="A201" s="210" t="s">
        <v>844</v>
      </c>
      <c r="B201" s="165" t="s">
        <v>967</v>
      </c>
      <c r="C201" s="159" t="s">
        <v>849</v>
      </c>
      <c r="D201" s="161" t="s">
        <v>202</v>
      </c>
      <c r="E201" s="161"/>
      <c r="F201" s="161" t="s">
        <v>645</v>
      </c>
      <c r="G201" s="181">
        <f t="shared" si="6"/>
        <v>6050</v>
      </c>
      <c r="H201" s="161"/>
    </row>
    <row r="202" spans="1:8" ht="15" customHeight="1" x14ac:dyDescent="0.25">
      <c r="A202" s="210" t="s">
        <v>845</v>
      </c>
      <c r="B202" s="165" t="s">
        <v>968</v>
      </c>
      <c r="C202" s="159" t="s">
        <v>849</v>
      </c>
      <c r="D202" s="161" t="s">
        <v>202</v>
      </c>
      <c r="E202" s="161"/>
      <c r="F202" s="161" t="s">
        <v>645</v>
      </c>
      <c r="G202" s="181">
        <f t="shared" si="6"/>
        <v>6875</v>
      </c>
      <c r="H202" s="161"/>
    </row>
    <row r="203" spans="1:8" ht="15" customHeight="1" x14ac:dyDescent="0.25">
      <c r="A203" s="210" t="s">
        <v>846</v>
      </c>
      <c r="B203" s="165" t="s">
        <v>969</v>
      </c>
      <c r="C203" s="159" t="s">
        <v>849</v>
      </c>
      <c r="D203" s="161" t="s">
        <v>202</v>
      </c>
      <c r="E203" s="161"/>
      <c r="F203" s="161" t="s">
        <v>645</v>
      </c>
      <c r="G203" s="181">
        <f t="shared" si="6"/>
        <v>6875</v>
      </c>
      <c r="H203" s="161"/>
    </row>
    <row r="204" spans="1:8" ht="15" customHeight="1" x14ac:dyDescent="0.25">
      <c r="A204" s="210" t="s">
        <v>847</v>
      </c>
      <c r="B204" s="165" t="s">
        <v>970</v>
      </c>
      <c r="C204" s="159" t="s">
        <v>849</v>
      </c>
      <c r="D204" s="161" t="s">
        <v>202</v>
      </c>
      <c r="E204" s="161"/>
      <c r="F204" s="161" t="s">
        <v>645</v>
      </c>
      <c r="G204" s="181">
        <f t="shared" si="6"/>
        <v>6875</v>
      </c>
      <c r="H204" s="161"/>
    </row>
    <row r="205" spans="1:8" ht="15" customHeight="1" x14ac:dyDescent="0.25">
      <c r="A205" s="210" t="s">
        <v>848</v>
      </c>
      <c r="B205" s="165" t="s">
        <v>971</v>
      </c>
      <c r="C205" s="159" t="s">
        <v>849</v>
      </c>
      <c r="D205" s="161" t="s">
        <v>202</v>
      </c>
      <c r="E205" s="161"/>
      <c r="F205" s="161" t="s">
        <v>645</v>
      </c>
      <c r="G205" s="181">
        <f t="shared" si="6"/>
        <v>6875</v>
      </c>
      <c r="H205" s="161"/>
    </row>
    <row r="206" spans="1:8" ht="15" customHeight="1" x14ac:dyDescent="0.25">
      <c r="A206" s="24" t="s">
        <v>850</v>
      </c>
      <c r="B206" s="216" t="s">
        <v>972</v>
      </c>
      <c r="C206" s="159" t="s">
        <v>849</v>
      </c>
      <c r="D206" s="161" t="s">
        <v>853</v>
      </c>
      <c r="E206" s="161"/>
      <c r="F206" s="161" t="s">
        <v>978</v>
      </c>
      <c r="G206" s="162">
        <v>62</v>
      </c>
      <c r="H206" s="161"/>
    </row>
    <row r="207" spans="1:8" ht="15" customHeight="1" x14ac:dyDescent="0.25">
      <c r="A207" s="24" t="s">
        <v>851</v>
      </c>
      <c r="B207" s="216" t="s">
        <v>973</v>
      </c>
      <c r="C207" s="159" t="s">
        <v>849</v>
      </c>
      <c r="D207" s="161" t="s">
        <v>853</v>
      </c>
      <c r="E207" s="161"/>
      <c r="F207" s="161" t="s">
        <v>978</v>
      </c>
      <c r="G207" s="162">
        <v>67</v>
      </c>
      <c r="H207" s="161"/>
    </row>
    <row r="208" spans="1:8" ht="15" customHeight="1" x14ac:dyDescent="0.25">
      <c r="A208" s="24" t="s">
        <v>852</v>
      </c>
      <c r="B208" s="216" t="s">
        <v>974</v>
      </c>
      <c r="C208" s="159" t="s">
        <v>849</v>
      </c>
      <c r="D208" s="161" t="s">
        <v>853</v>
      </c>
      <c r="E208" s="161"/>
      <c r="F208" s="161" t="s">
        <v>979</v>
      </c>
      <c r="G208" s="162">
        <v>15</v>
      </c>
      <c r="H208" s="161"/>
    </row>
    <row r="209" spans="1:8" ht="15" customHeight="1" x14ac:dyDescent="0.25">
      <c r="A209" s="215" t="s">
        <v>903</v>
      </c>
      <c r="B209" s="166" t="s">
        <v>904</v>
      </c>
      <c r="C209" s="159" t="s">
        <v>455</v>
      </c>
      <c r="D209" s="157" t="s">
        <v>189</v>
      </c>
      <c r="E209" s="161"/>
      <c r="F209" s="161" t="s">
        <v>472</v>
      </c>
      <c r="G209" s="162">
        <v>260</v>
      </c>
      <c r="H209" s="161"/>
    </row>
    <row r="210" spans="1:8" ht="15" customHeight="1" x14ac:dyDescent="0.25">
      <c r="A210" s="215" t="s">
        <v>905</v>
      </c>
      <c r="B210" s="166" t="s">
        <v>906</v>
      </c>
      <c r="C210" s="159" t="s">
        <v>455</v>
      </c>
      <c r="D210" s="157" t="s">
        <v>189</v>
      </c>
      <c r="E210" s="161"/>
      <c r="F210" s="161" t="s">
        <v>472</v>
      </c>
      <c r="G210" s="162">
        <v>18</v>
      </c>
      <c r="H210" s="161"/>
    </row>
    <row r="211" spans="1:8" ht="15" customHeight="1" x14ac:dyDescent="0.25">
      <c r="A211" s="219" t="s">
        <v>907</v>
      </c>
      <c r="B211" s="220" t="s">
        <v>908</v>
      </c>
      <c r="C211" s="221" t="s">
        <v>440</v>
      </c>
      <c r="D211" s="195" t="s">
        <v>189</v>
      </c>
      <c r="E211" s="196"/>
      <c r="F211" s="196" t="s">
        <v>472</v>
      </c>
      <c r="G211" s="222"/>
      <c r="H211" s="161"/>
    </row>
    <row r="212" spans="1:8" ht="15" customHeight="1" x14ac:dyDescent="0.25">
      <c r="A212" s="219" t="s">
        <v>909</v>
      </c>
      <c r="B212" s="220" t="s">
        <v>910</v>
      </c>
      <c r="C212" s="195" t="s">
        <v>440</v>
      </c>
      <c r="D212" s="195" t="s">
        <v>189</v>
      </c>
      <c r="E212" s="196"/>
      <c r="F212" s="196" t="s">
        <v>472</v>
      </c>
      <c r="G212" s="222"/>
      <c r="H212" s="161"/>
    </row>
    <row r="213" spans="1:8" x14ac:dyDescent="0.25">
      <c r="B213" s="165"/>
      <c r="C213" s="159"/>
      <c r="D213" s="161"/>
      <c r="E213" s="161"/>
      <c r="F213" s="161"/>
      <c r="G213" s="167"/>
      <c r="H213" s="161"/>
    </row>
    <row r="214" spans="1:8" x14ac:dyDescent="0.25">
      <c r="B214" s="165"/>
      <c r="C214" s="159"/>
      <c r="D214" s="161"/>
      <c r="E214" s="161"/>
      <c r="F214" s="161"/>
      <c r="G214" s="167"/>
      <c r="H214" s="161"/>
    </row>
    <row r="215" spans="1:8" x14ac:dyDescent="0.25">
      <c r="B215" s="165"/>
      <c r="C215" s="159"/>
      <c r="D215" s="161"/>
      <c r="E215" s="161"/>
      <c r="F215" s="161"/>
      <c r="G215" s="167"/>
      <c r="H215" s="161"/>
    </row>
    <row r="216" spans="1:8" x14ac:dyDescent="0.25">
      <c r="B216" s="165"/>
      <c r="C216" s="159"/>
      <c r="D216" s="161"/>
      <c r="E216" s="161"/>
      <c r="F216" s="161"/>
      <c r="G216" s="167"/>
      <c r="H216" s="161"/>
    </row>
    <row r="217" spans="1:8" x14ac:dyDescent="0.25">
      <c r="B217" s="165"/>
      <c r="C217" s="159"/>
      <c r="D217" s="161"/>
      <c r="E217" s="161"/>
      <c r="F217" s="161"/>
      <c r="G217" s="167"/>
      <c r="H217" s="161"/>
    </row>
    <row r="218" spans="1:8" x14ac:dyDescent="0.25">
      <c r="B218" s="165"/>
      <c r="C218" s="159"/>
      <c r="D218" s="161"/>
      <c r="E218" s="161"/>
      <c r="F218" s="161"/>
      <c r="G218" s="167"/>
      <c r="H218" s="161"/>
    </row>
    <row r="219" spans="1:8" x14ac:dyDescent="0.25">
      <c r="B219" s="165"/>
      <c r="C219" s="159"/>
      <c r="D219" s="161"/>
      <c r="E219" s="161"/>
      <c r="F219" s="161"/>
      <c r="G219" s="167"/>
      <c r="H219" s="161"/>
    </row>
    <row r="220" spans="1:8" x14ac:dyDescent="0.25">
      <c r="B220" s="165"/>
      <c r="C220" s="159"/>
      <c r="D220" s="161"/>
      <c r="E220" s="161"/>
      <c r="F220" s="161"/>
      <c r="G220" s="167"/>
      <c r="H220" s="161"/>
    </row>
    <row r="221" spans="1:8" x14ac:dyDescent="0.25">
      <c r="B221" s="165"/>
      <c r="C221" s="159"/>
      <c r="D221" s="161"/>
      <c r="E221" s="161"/>
      <c r="F221" s="161"/>
      <c r="G221" s="167"/>
      <c r="H221" s="161"/>
    </row>
    <row r="222" spans="1:8" x14ac:dyDescent="0.25">
      <c r="B222" s="165"/>
      <c r="C222" s="159"/>
      <c r="D222" s="161"/>
      <c r="E222" s="161"/>
      <c r="F222" s="161"/>
      <c r="G222" s="167"/>
      <c r="H222" s="161"/>
    </row>
    <row r="223" spans="1:8" x14ac:dyDescent="0.25">
      <c r="B223" s="165"/>
      <c r="C223" s="159"/>
      <c r="D223" s="161"/>
      <c r="E223" s="161"/>
      <c r="F223" s="161"/>
      <c r="G223" s="167"/>
      <c r="H223" s="161"/>
    </row>
    <row r="224" spans="1:8" x14ac:dyDescent="0.25">
      <c r="B224" s="165"/>
      <c r="C224" s="159"/>
      <c r="D224" s="161"/>
      <c r="E224" s="161"/>
      <c r="F224" s="161"/>
      <c r="G224" s="167"/>
      <c r="H224" s="161"/>
    </row>
    <row r="225" spans="2:8" x14ac:dyDescent="0.25">
      <c r="B225" s="165"/>
      <c r="C225" s="159"/>
      <c r="D225" s="161"/>
      <c r="E225" s="161"/>
      <c r="F225" s="161"/>
      <c r="G225" s="167"/>
      <c r="H225" s="161"/>
    </row>
    <row r="226" spans="2:8" x14ac:dyDescent="0.25">
      <c r="B226" s="165"/>
      <c r="C226" s="159"/>
      <c r="D226" s="161"/>
      <c r="E226" s="161"/>
      <c r="F226" s="161"/>
      <c r="G226" s="167"/>
      <c r="H226" s="161"/>
    </row>
    <row r="227" spans="2:8" x14ac:dyDescent="0.25">
      <c r="B227" s="165"/>
      <c r="C227" s="159"/>
      <c r="D227" s="161"/>
      <c r="E227" s="161"/>
      <c r="F227" s="161"/>
      <c r="G227" s="167"/>
      <c r="H227" s="161"/>
    </row>
    <row r="228" spans="2:8" x14ac:dyDescent="0.25">
      <c r="B228" s="165"/>
      <c r="C228" s="159"/>
      <c r="D228" s="161"/>
      <c r="E228" s="161"/>
      <c r="F228" s="161"/>
      <c r="G228" s="167"/>
      <c r="H228" s="161"/>
    </row>
    <row r="229" spans="2:8" x14ac:dyDescent="0.25">
      <c r="B229" s="165"/>
      <c r="C229" s="159"/>
      <c r="D229" s="161"/>
      <c r="E229" s="161"/>
      <c r="F229" s="161"/>
      <c r="G229" s="167"/>
      <c r="H229" s="161"/>
    </row>
    <row r="230" spans="2:8" x14ac:dyDescent="0.25">
      <c r="B230" s="165"/>
      <c r="C230" s="159"/>
      <c r="D230" s="161"/>
      <c r="E230" s="161"/>
      <c r="F230" s="161"/>
      <c r="G230" s="167"/>
      <c r="H230" s="161"/>
    </row>
    <row r="231" spans="2:8" x14ac:dyDescent="0.25">
      <c r="B231" s="165"/>
      <c r="C231" s="159"/>
      <c r="D231" s="161"/>
      <c r="E231" s="161"/>
      <c r="F231" s="161"/>
      <c r="G231" s="167"/>
      <c r="H231" s="161"/>
    </row>
    <row r="232" spans="2:8" x14ac:dyDescent="0.25">
      <c r="B232" s="165"/>
      <c r="C232" s="159"/>
      <c r="D232" s="161"/>
      <c r="E232" s="161"/>
      <c r="F232" s="161"/>
      <c r="G232" s="167"/>
      <c r="H232" s="161"/>
    </row>
    <row r="233" spans="2:8" x14ac:dyDescent="0.25">
      <c r="B233" s="165"/>
      <c r="C233" s="159"/>
      <c r="D233" s="161"/>
      <c r="E233" s="161"/>
      <c r="F233" s="161"/>
      <c r="G233" s="167"/>
      <c r="H233" s="161"/>
    </row>
    <row r="234" spans="2:8" x14ac:dyDescent="0.25">
      <c r="B234" s="165"/>
      <c r="C234" s="159"/>
      <c r="D234" s="161"/>
      <c r="E234" s="161"/>
      <c r="F234" s="161"/>
      <c r="G234" s="167"/>
      <c r="H234" s="161"/>
    </row>
    <row r="235" spans="2:8" x14ac:dyDescent="0.25">
      <c r="B235" s="165"/>
      <c r="C235" s="159"/>
      <c r="D235" s="161"/>
      <c r="E235" s="161"/>
      <c r="F235" s="161"/>
      <c r="G235" s="167"/>
      <c r="H235" s="161"/>
    </row>
    <row r="236" spans="2:8" x14ac:dyDescent="0.25">
      <c r="B236" s="165"/>
      <c r="C236" s="159"/>
      <c r="D236" s="161"/>
      <c r="E236" s="161"/>
      <c r="F236" s="161"/>
      <c r="G236" s="167"/>
      <c r="H236" s="161"/>
    </row>
    <row r="237" spans="2:8" x14ac:dyDescent="0.25">
      <c r="B237" s="165"/>
      <c r="C237" s="159"/>
      <c r="D237" s="161"/>
      <c r="E237" s="161"/>
      <c r="F237" s="161"/>
      <c r="G237" s="167"/>
      <c r="H237" s="161"/>
    </row>
    <row r="238" spans="2:8" x14ac:dyDescent="0.25">
      <c r="B238" s="165"/>
      <c r="C238" s="159"/>
      <c r="D238" s="161"/>
      <c r="E238" s="161"/>
      <c r="F238" s="161"/>
      <c r="G238" s="167"/>
      <c r="H238" s="161"/>
    </row>
    <row r="239" spans="2:8" x14ac:dyDescent="0.25">
      <c r="B239" s="165"/>
      <c r="C239" s="159"/>
      <c r="D239" s="161"/>
      <c r="E239" s="161"/>
      <c r="F239" s="161"/>
      <c r="G239" s="167"/>
      <c r="H239" s="161"/>
    </row>
    <row r="240" spans="2:8" x14ac:dyDescent="0.25">
      <c r="B240" s="165"/>
      <c r="C240" s="159"/>
      <c r="D240" s="161"/>
      <c r="E240" s="161"/>
      <c r="F240" s="161"/>
      <c r="G240" s="167"/>
      <c r="H240" s="161"/>
    </row>
    <row r="241" spans="2:8" x14ac:dyDescent="0.25">
      <c r="B241" s="165"/>
      <c r="C241" s="159"/>
      <c r="D241" s="161"/>
      <c r="E241" s="161"/>
      <c r="F241" s="161"/>
      <c r="G241" s="167"/>
      <c r="H241" s="161"/>
    </row>
    <row r="242" spans="2:8" x14ac:dyDescent="0.25">
      <c r="B242" s="165"/>
      <c r="C242" s="159"/>
      <c r="D242" s="161"/>
      <c r="E242" s="161"/>
      <c r="F242" s="161"/>
      <c r="G242" s="167"/>
      <c r="H242" s="161"/>
    </row>
    <row r="243" spans="2:8" x14ac:dyDescent="0.25">
      <c r="B243" s="165"/>
      <c r="C243" s="159"/>
      <c r="D243" s="161"/>
      <c r="E243" s="161"/>
      <c r="F243" s="161"/>
      <c r="G243" s="167"/>
      <c r="H243" s="161"/>
    </row>
    <row r="244" spans="2:8" x14ac:dyDescent="0.25">
      <c r="B244" s="165"/>
      <c r="C244" s="159"/>
      <c r="D244" s="161"/>
      <c r="E244" s="161"/>
      <c r="F244" s="161"/>
      <c r="G244" s="167"/>
      <c r="H244" s="161"/>
    </row>
    <row r="245" spans="2:8" x14ac:dyDescent="0.25">
      <c r="B245" s="165"/>
      <c r="C245" s="159"/>
      <c r="D245" s="161"/>
      <c r="E245" s="161"/>
      <c r="F245" s="161"/>
      <c r="G245" s="167"/>
      <c r="H245" s="161"/>
    </row>
    <row r="246" spans="2:8" x14ac:dyDescent="0.25">
      <c r="B246" s="165"/>
      <c r="C246" s="159"/>
      <c r="D246" s="161"/>
      <c r="E246" s="161"/>
      <c r="F246" s="161"/>
      <c r="G246" s="167"/>
      <c r="H246" s="161"/>
    </row>
    <row r="247" spans="2:8" x14ac:dyDescent="0.25">
      <c r="B247" s="165"/>
      <c r="C247" s="159"/>
      <c r="D247" s="161"/>
      <c r="E247" s="161"/>
      <c r="F247" s="161"/>
      <c r="G247" s="167"/>
      <c r="H247" s="161"/>
    </row>
    <row r="248" spans="2:8" x14ac:dyDescent="0.25">
      <c r="B248" s="165"/>
      <c r="C248" s="159"/>
      <c r="D248" s="161"/>
      <c r="E248" s="161"/>
      <c r="F248" s="161"/>
      <c r="G248" s="167"/>
      <c r="H248" s="161"/>
    </row>
    <row r="249" spans="2:8" x14ac:dyDescent="0.25">
      <c r="B249" s="165"/>
      <c r="C249" s="159"/>
      <c r="D249" s="161"/>
      <c r="E249" s="161"/>
      <c r="F249" s="161"/>
      <c r="G249" s="167"/>
      <c r="H249" s="161"/>
    </row>
    <row r="250" spans="2:8" x14ac:dyDescent="0.25">
      <c r="B250" s="165"/>
      <c r="C250" s="159"/>
      <c r="D250" s="161"/>
      <c r="E250" s="161"/>
      <c r="F250" s="161"/>
      <c r="G250" s="167"/>
      <c r="H250" s="161"/>
    </row>
    <row r="251" spans="2:8" x14ac:dyDescent="0.25">
      <c r="B251" s="165"/>
      <c r="C251" s="159"/>
      <c r="D251" s="161"/>
      <c r="E251" s="161"/>
      <c r="F251" s="161"/>
      <c r="G251" s="167"/>
      <c r="H251" s="161"/>
    </row>
    <row r="252" spans="2:8" x14ac:dyDescent="0.25">
      <c r="B252" s="165"/>
      <c r="C252" s="159"/>
      <c r="D252" s="161"/>
      <c r="E252" s="161"/>
      <c r="F252" s="161"/>
      <c r="G252" s="167"/>
      <c r="H252" s="161"/>
    </row>
    <row r="253" spans="2:8" x14ac:dyDescent="0.25">
      <c r="B253" s="165"/>
      <c r="C253" s="159"/>
      <c r="D253" s="161"/>
      <c r="E253" s="161"/>
      <c r="F253" s="161"/>
      <c r="G253" s="167"/>
      <c r="H253" s="161"/>
    </row>
    <row r="254" spans="2:8" x14ac:dyDescent="0.25">
      <c r="B254" s="165"/>
      <c r="C254" s="159"/>
      <c r="D254" s="161"/>
      <c r="E254" s="161"/>
      <c r="F254" s="161"/>
      <c r="G254" s="167"/>
      <c r="H254" s="161"/>
    </row>
    <row r="255" spans="2:8" x14ac:dyDescent="0.25">
      <c r="B255" s="165"/>
      <c r="C255" s="159"/>
      <c r="D255" s="161"/>
      <c r="E255" s="161"/>
      <c r="F255" s="161"/>
      <c r="G255" s="167"/>
      <c r="H255" s="161"/>
    </row>
    <row r="256" spans="2:8" x14ac:dyDescent="0.25">
      <c r="B256" s="165"/>
      <c r="C256" s="159"/>
      <c r="D256" s="161"/>
      <c r="E256" s="161"/>
      <c r="F256" s="161"/>
      <c r="G256" s="167"/>
      <c r="H256" s="161"/>
    </row>
    <row r="257" spans="2:8" x14ac:dyDescent="0.25">
      <c r="B257" s="165"/>
      <c r="C257" s="159"/>
      <c r="D257" s="161"/>
      <c r="E257" s="161"/>
      <c r="F257" s="161"/>
      <c r="G257" s="167"/>
      <c r="H257" s="161"/>
    </row>
    <row r="258" spans="2:8" x14ac:dyDescent="0.25">
      <c r="B258" s="165"/>
      <c r="C258" s="159"/>
      <c r="D258" s="161"/>
      <c r="E258" s="161"/>
      <c r="F258" s="161"/>
      <c r="G258" s="167"/>
      <c r="H258" s="161"/>
    </row>
    <row r="259" spans="2:8" x14ac:dyDescent="0.25">
      <c r="B259" s="165"/>
      <c r="C259" s="159"/>
      <c r="D259" s="161"/>
      <c r="E259" s="161"/>
      <c r="F259" s="161"/>
      <c r="G259" s="167"/>
      <c r="H259" s="161"/>
    </row>
    <row r="260" spans="2:8" x14ac:dyDescent="0.25">
      <c r="B260" s="165"/>
      <c r="C260" s="159"/>
      <c r="D260" s="161"/>
      <c r="E260" s="161"/>
      <c r="F260" s="161"/>
      <c r="G260" s="167"/>
      <c r="H260" s="161"/>
    </row>
    <row r="261" spans="2:8" x14ac:dyDescent="0.25">
      <c r="B261" s="165"/>
      <c r="C261" s="159"/>
      <c r="D261" s="161"/>
      <c r="E261" s="161"/>
      <c r="F261" s="161"/>
      <c r="G261" s="167"/>
      <c r="H261" s="161"/>
    </row>
    <row r="262" spans="2:8" x14ac:dyDescent="0.25">
      <c r="B262" s="165"/>
      <c r="C262" s="159"/>
      <c r="D262" s="161"/>
      <c r="E262" s="161"/>
      <c r="F262" s="161"/>
      <c r="G262" s="167"/>
      <c r="H262" s="161"/>
    </row>
    <row r="263" spans="2:8" x14ac:dyDescent="0.25">
      <c r="B263" s="165"/>
      <c r="C263" s="159"/>
      <c r="D263" s="161"/>
      <c r="E263" s="161"/>
      <c r="F263" s="161"/>
      <c r="G263" s="167"/>
      <c r="H263" s="161"/>
    </row>
    <row r="264" spans="2:8" x14ac:dyDescent="0.25">
      <c r="B264" s="165"/>
      <c r="C264" s="159"/>
      <c r="D264" s="161"/>
      <c r="E264" s="161"/>
      <c r="F264" s="161"/>
      <c r="G264" s="167"/>
      <c r="H264" s="161"/>
    </row>
    <row r="265" spans="2:8" x14ac:dyDescent="0.25">
      <c r="B265" s="165"/>
      <c r="C265" s="159"/>
      <c r="D265" s="161"/>
      <c r="E265" s="161"/>
      <c r="F265" s="161"/>
      <c r="G265" s="167"/>
      <c r="H265" s="161"/>
    </row>
    <row r="266" spans="2:8" x14ac:dyDescent="0.25">
      <c r="B266" s="165"/>
      <c r="C266" s="159"/>
      <c r="D266" s="161"/>
      <c r="E266" s="161"/>
      <c r="F266" s="161"/>
      <c r="G266" s="167"/>
      <c r="H266" s="161"/>
    </row>
    <row r="267" spans="2:8" x14ac:dyDescent="0.25">
      <c r="B267" s="165"/>
      <c r="C267" s="159"/>
      <c r="D267" s="161"/>
      <c r="E267" s="161"/>
      <c r="F267" s="161"/>
      <c r="G267" s="167"/>
      <c r="H267" s="161"/>
    </row>
    <row r="268" spans="2:8" x14ac:dyDescent="0.25">
      <c r="B268" s="165"/>
      <c r="C268" s="159"/>
      <c r="D268" s="161"/>
      <c r="E268" s="161"/>
      <c r="F268" s="161"/>
      <c r="G268" s="167"/>
      <c r="H268" s="161"/>
    </row>
    <row r="269" spans="2:8" x14ac:dyDescent="0.25">
      <c r="B269" s="165"/>
      <c r="C269" s="159"/>
      <c r="D269" s="161"/>
      <c r="E269" s="161"/>
      <c r="F269" s="161"/>
      <c r="G269" s="167"/>
      <c r="H269" s="161"/>
    </row>
    <row r="270" spans="2:8" x14ac:dyDescent="0.25">
      <c r="B270" s="165"/>
      <c r="C270" s="159"/>
      <c r="D270" s="161"/>
      <c r="E270" s="161"/>
      <c r="F270" s="161"/>
      <c r="G270" s="167"/>
      <c r="H270" s="161"/>
    </row>
    <row r="271" spans="2:8" x14ac:dyDescent="0.25">
      <c r="B271" s="165"/>
      <c r="C271" s="159"/>
      <c r="D271" s="161"/>
      <c r="E271" s="161"/>
      <c r="F271" s="161"/>
      <c r="G271" s="167"/>
      <c r="H271" s="161"/>
    </row>
    <row r="272" spans="2:8" x14ac:dyDescent="0.25">
      <c r="B272" s="165"/>
      <c r="C272" s="159"/>
      <c r="D272" s="161"/>
      <c r="E272" s="161"/>
      <c r="F272" s="161"/>
      <c r="G272" s="167"/>
      <c r="H272" s="161"/>
    </row>
    <row r="273" spans="2:8" x14ac:dyDescent="0.25">
      <c r="B273" s="165"/>
      <c r="C273" s="159"/>
      <c r="D273" s="161"/>
      <c r="E273" s="161"/>
      <c r="F273" s="161"/>
      <c r="G273" s="167"/>
      <c r="H273" s="161"/>
    </row>
    <row r="274" spans="2:8" x14ac:dyDescent="0.25">
      <c r="B274" s="165"/>
      <c r="C274" s="159"/>
      <c r="D274" s="161"/>
      <c r="E274" s="161"/>
      <c r="F274" s="161"/>
      <c r="G274" s="167"/>
      <c r="H274" s="161"/>
    </row>
    <row r="275" spans="2:8" x14ac:dyDescent="0.25">
      <c r="B275" s="165"/>
      <c r="C275" s="159"/>
      <c r="D275" s="161"/>
      <c r="E275" s="161"/>
      <c r="F275" s="161"/>
      <c r="G275" s="167"/>
      <c r="H275" s="161"/>
    </row>
    <row r="276" spans="2:8" x14ac:dyDescent="0.25">
      <c r="B276" s="165"/>
      <c r="C276" s="159"/>
      <c r="D276" s="161"/>
      <c r="E276" s="161"/>
      <c r="F276" s="161"/>
      <c r="G276" s="167"/>
      <c r="H276" s="161"/>
    </row>
    <row r="277" spans="2:8" x14ac:dyDescent="0.25">
      <c r="B277" s="165"/>
      <c r="C277" s="159"/>
      <c r="D277" s="161"/>
      <c r="E277" s="161"/>
      <c r="F277" s="161"/>
      <c r="G277" s="167"/>
      <c r="H277" s="161"/>
    </row>
    <row r="278" spans="2:8" x14ac:dyDescent="0.25">
      <c r="B278" s="165"/>
      <c r="C278" s="159"/>
      <c r="D278" s="161"/>
      <c r="E278" s="161"/>
      <c r="F278" s="161"/>
      <c r="G278" s="167"/>
      <c r="H278" s="161"/>
    </row>
    <row r="279" spans="2:8" x14ac:dyDescent="0.25">
      <c r="B279" s="165"/>
      <c r="C279" s="159"/>
      <c r="D279" s="161"/>
      <c r="E279" s="161"/>
      <c r="F279" s="161"/>
      <c r="G279" s="167"/>
      <c r="H279" s="161"/>
    </row>
    <row r="280" spans="2:8" x14ac:dyDescent="0.25">
      <c r="B280" s="165"/>
      <c r="C280" s="159"/>
      <c r="D280" s="161"/>
      <c r="E280" s="161"/>
      <c r="F280" s="161"/>
      <c r="G280" s="167"/>
      <c r="H280" s="161"/>
    </row>
    <row r="281" spans="2:8" x14ac:dyDescent="0.25">
      <c r="B281" s="165"/>
      <c r="C281" s="159"/>
      <c r="D281" s="161"/>
      <c r="E281" s="161"/>
      <c r="F281" s="161"/>
      <c r="G281" s="167"/>
      <c r="H281" s="161"/>
    </row>
    <row r="282" spans="2:8" x14ac:dyDescent="0.25">
      <c r="B282" s="165"/>
      <c r="C282" s="159"/>
      <c r="D282" s="161"/>
      <c r="E282" s="161"/>
      <c r="F282" s="161"/>
      <c r="G282" s="167"/>
      <c r="H282" s="161"/>
    </row>
    <row r="283" spans="2:8" x14ac:dyDescent="0.25">
      <c r="B283" s="165"/>
      <c r="C283" s="159"/>
      <c r="D283" s="161"/>
      <c r="E283" s="161"/>
      <c r="F283" s="161"/>
      <c r="G283" s="167"/>
      <c r="H283" s="161"/>
    </row>
    <row r="284" spans="2:8" x14ac:dyDescent="0.25">
      <c r="B284" s="165"/>
      <c r="C284" s="159"/>
      <c r="D284" s="161"/>
      <c r="E284" s="161"/>
      <c r="F284" s="161"/>
      <c r="G284" s="167"/>
      <c r="H284" s="161"/>
    </row>
    <row r="285" spans="2:8" x14ac:dyDescent="0.25">
      <c r="B285" s="165"/>
      <c r="C285" s="159"/>
      <c r="D285" s="161"/>
      <c r="E285" s="161"/>
      <c r="F285" s="161"/>
      <c r="G285" s="167"/>
      <c r="H285" s="161"/>
    </row>
    <row r="286" spans="2:8" x14ac:dyDescent="0.25">
      <c r="B286" s="165"/>
      <c r="C286" s="159"/>
      <c r="D286" s="161"/>
      <c r="E286" s="161"/>
      <c r="F286" s="161"/>
      <c r="G286" s="167"/>
      <c r="H286" s="161"/>
    </row>
    <row r="287" spans="2:8" x14ac:dyDescent="0.25">
      <c r="B287" s="165"/>
      <c r="C287" s="159"/>
      <c r="D287" s="161"/>
      <c r="E287" s="161"/>
      <c r="F287" s="161"/>
      <c r="G287" s="167"/>
      <c r="H287" s="161"/>
    </row>
    <row r="288" spans="2:8" x14ac:dyDescent="0.25">
      <c r="B288" s="165"/>
      <c r="C288" s="159"/>
      <c r="D288" s="161"/>
      <c r="E288" s="161"/>
      <c r="F288" s="161"/>
      <c r="G288" s="167"/>
      <c r="H288" s="161"/>
    </row>
    <row r="289" spans="2:8" x14ac:dyDescent="0.25">
      <c r="B289" s="165"/>
      <c r="C289" s="159"/>
      <c r="D289" s="161"/>
      <c r="E289" s="161"/>
      <c r="F289" s="161"/>
      <c r="G289" s="167"/>
      <c r="H289" s="161"/>
    </row>
    <row r="290" spans="2:8" x14ac:dyDescent="0.25">
      <c r="B290" s="165"/>
      <c r="C290" s="159"/>
      <c r="D290" s="161"/>
      <c r="E290" s="161"/>
      <c r="F290" s="161"/>
      <c r="G290" s="167"/>
      <c r="H290" s="161"/>
    </row>
    <row r="291" spans="2:8" x14ac:dyDescent="0.25">
      <c r="B291" s="165"/>
      <c r="C291" s="159"/>
      <c r="D291" s="161"/>
      <c r="E291" s="161"/>
      <c r="F291" s="161"/>
      <c r="G291" s="167"/>
      <c r="H291" s="161"/>
    </row>
    <row r="292" spans="2:8" x14ac:dyDescent="0.25">
      <c r="B292" s="165"/>
      <c r="C292" s="159"/>
      <c r="D292" s="161"/>
      <c r="E292" s="161"/>
      <c r="F292" s="161"/>
      <c r="G292" s="167"/>
      <c r="H292" s="161"/>
    </row>
    <row r="293" spans="2:8" x14ac:dyDescent="0.25">
      <c r="B293" s="165"/>
      <c r="C293" s="159"/>
      <c r="D293" s="161"/>
      <c r="E293" s="161"/>
      <c r="F293" s="161"/>
      <c r="G293" s="167"/>
      <c r="H293" s="161"/>
    </row>
    <row r="294" spans="2:8" x14ac:dyDescent="0.25">
      <c r="B294" s="165"/>
      <c r="C294" s="159"/>
      <c r="D294" s="161"/>
      <c r="E294" s="161"/>
      <c r="F294" s="161"/>
      <c r="G294" s="167"/>
      <c r="H294" s="161"/>
    </row>
    <row r="295" spans="2:8" x14ac:dyDescent="0.25">
      <c r="B295" s="165"/>
      <c r="C295" s="159"/>
      <c r="D295" s="161"/>
      <c r="E295" s="161"/>
      <c r="F295" s="161"/>
      <c r="G295" s="167"/>
      <c r="H295" s="161"/>
    </row>
    <row r="296" spans="2:8" x14ac:dyDescent="0.25">
      <c r="B296" s="165"/>
      <c r="C296" s="159"/>
      <c r="D296" s="161"/>
      <c r="E296" s="161"/>
      <c r="F296" s="161"/>
      <c r="G296" s="167"/>
      <c r="H296" s="161"/>
    </row>
    <row r="297" spans="2:8" x14ac:dyDescent="0.25">
      <c r="B297" s="165"/>
      <c r="C297" s="159"/>
      <c r="D297" s="161"/>
      <c r="E297" s="161"/>
      <c r="F297" s="161"/>
      <c r="G297" s="167"/>
      <c r="H297" s="161"/>
    </row>
    <row r="298" spans="2:8" x14ac:dyDescent="0.25">
      <c r="B298" s="165"/>
      <c r="C298" s="159"/>
      <c r="D298" s="161"/>
      <c r="E298" s="161"/>
      <c r="F298" s="161"/>
      <c r="G298" s="167"/>
      <c r="H298" s="161"/>
    </row>
    <row r="299" spans="2:8" x14ac:dyDescent="0.25">
      <c r="B299" s="165"/>
      <c r="C299" s="159"/>
      <c r="D299" s="161"/>
      <c r="E299" s="161"/>
      <c r="F299" s="161"/>
      <c r="G299" s="167"/>
      <c r="H299" s="161"/>
    </row>
    <row r="300" spans="2:8" x14ac:dyDescent="0.25">
      <c r="B300" s="165"/>
      <c r="C300" s="159"/>
      <c r="D300" s="161"/>
      <c r="E300" s="161"/>
      <c r="F300" s="161"/>
      <c r="G300" s="167"/>
      <c r="H300" s="161"/>
    </row>
    <row r="301" spans="2:8" x14ac:dyDescent="0.25">
      <c r="B301" s="165"/>
      <c r="C301" s="159"/>
      <c r="D301" s="161"/>
      <c r="E301" s="161"/>
      <c r="F301" s="161"/>
      <c r="G301" s="167"/>
      <c r="H301" s="161"/>
    </row>
    <row r="302" spans="2:8" x14ac:dyDescent="0.25">
      <c r="B302" s="165"/>
      <c r="C302" s="159"/>
      <c r="D302" s="161"/>
      <c r="E302" s="161"/>
      <c r="F302" s="161"/>
      <c r="G302" s="167"/>
      <c r="H302" s="161"/>
    </row>
    <row r="303" spans="2:8" x14ac:dyDescent="0.25">
      <c r="B303" s="165"/>
      <c r="C303" s="159"/>
      <c r="D303" s="161"/>
      <c r="E303" s="161"/>
      <c r="F303" s="161"/>
      <c r="G303" s="167"/>
      <c r="H303" s="161"/>
    </row>
    <row r="304" spans="2:8" x14ac:dyDescent="0.25">
      <c r="B304" s="165"/>
      <c r="C304" s="159"/>
      <c r="D304" s="161"/>
      <c r="E304" s="161"/>
      <c r="F304" s="161"/>
      <c r="G304" s="167"/>
      <c r="H304" s="161"/>
    </row>
    <row r="305" spans="2:8" x14ac:dyDescent="0.25">
      <c r="B305" s="165"/>
      <c r="C305" s="159"/>
      <c r="D305" s="161"/>
      <c r="E305" s="161"/>
      <c r="F305" s="161"/>
      <c r="G305" s="167"/>
      <c r="H305" s="161"/>
    </row>
    <row r="306" spans="2:8" x14ac:dyDescent="0.25">
      <c r="B306" s="165"/>
      <c r="C306" s="159"/>
      <c r="D306" s="161"/>
      <c r="E306" s="161"/>
      <c r="F306" s="161"/>
      <c r="G306" s="167"/>
      <c r="H306" s="161"/>
    </row>
    <row r="307" spans="2:8" x14ac:dyDescent="0.25">
      <c r="B307" s="165"/>
      <c r="C307" s="159"/>
      <c r="D307" s="161"/>
      <c r="E307" s="161"/>
      <c r="F307" s="161"/>
      <c r="G307" s="167"/>
      <c r="H307" s="161"/>
    </row>
    <row r="308" spans="2:8" x14ac:dyDescent="0.25">
      <c r="B308" s="165"/>
      <c r="C308" s="159"/>
      <c r="D308" s="161"/>
      <c r="E308" s="161"/>
      <c r="F308" s="161"/>
      <c r="G308" s="167"/>
      <c r="H308" s="161"/>
    </row>
    <row r="309" spans="2:8" x14ac:dyDescent="0.25">
      <c r="B309" s="165"/>
      <c r="C309" s="159"/>
      <c r="D309" s="161"/>
      <c r="E309" s="161"/>
      <c r="F309" s="161"/>
      <c r="G309" s="167"/>
      <c r="H309" s="161"/>
    </row>
    <row r="310" spans="2:8" x14ac:dyDescent="0.25">
      <c r="B310" s="165"/>
      <c r="C310" s="159"/>
      <c r="D310" s="161"/>
      <c r="E310" s="161"/>
      <c r="F310" s="161"/>
      <c r="G310" s="167"/>
      <c r="H310" s="161"/>
    </row>
    <row r="311" spans="2:8" x14ac:dyDescent="0.25">
      <c r="B311" s="165"/>
      <c r="C311" s="159"/>
      <c r="D311" s="161"/>
      <c r="E311" s="161"/>
      <c r="F311" s="161"/>
      <c r="G311" s="167"/>
      <c r="H311" s="161"/>
    </row>
    <row r="312" spans="2:8" x14ac:dyDescent="0.25">
      <c r="B312" s="165"/>
      <c r="C312" s="159"/>
      <c r="D312" s="161"/>
      <c r="E312" s="161"/>
      <c r="F312" s="161"/>
      <c r="G312" s="167"/>
      <c r="H312" s="161"/>
    </row>
    <row r="313" spans="2:8" x14ac:dyDescent="0.25">
      <c r="B313" s="165"/>
      <c r="C313" s="159"/>
      <c r="D313" s="161"/>
      <c r="E313" s="161"/>
      <c r="F313" s="161"/>
      <c r="G313" s="167"/>
      <c r="H313" s="161"/>
    </row>
    <row r="314" spans="2:8" x14ac:dyDescent="0.25">
      <c r="B314" s="165"/>
      <c r="C314" s="159"/>
      <c r="D314" s="161"/>
      <c r="E314" s="161"/>
      <c r="F314" s="161"/>
      <c r="G314" s="167"/>
      <c r="H314" s="161"/>
    </row>
    <row r="315" spans="2:8" x14ac:dyDescent="0.25">
      <c r="B315" s="165"/>
      <c r="C315" s="159"/>
      <c r="D315" s="161"/>
      <c r="E315" s="161"/>
      <c r="F315" s="161"/>
      <c r="G315" s="167"/>
      <c r="H315" s="161"/>
    </row>
    <row r="316" spans="2:8" x14ac:dyDescent="0.25">
      <c r="B316" s="165"/>
      <c r="C316" s="159"/>
      <c r="D316" s="161"/>
      <c r="E316" s="161"/>
      <c r="F316" s="161"/>
      <c r="G316" s="167"/>
      <c r="H316" s="161"/>
    </row>
    <row r="317" spans="2:8" x14ac:dyDescent="0.25">
      <c r="B317" s="165"/>
      <c r="C317" s="159"/>
      <c r="D317" s="161"/>
      <c r="E317" s="161"/>
      <c r="F317" s="161"/>
      <c r="G317" s="167"/>
      <c r="H317" s="161"/>
    </row>
    <row r="318" spans="2:8" x14ac:dyDescent="0.25">
      <c r="B318" s="165"/>
      <c r="C318" s="159"/>
      <c r="D318" s="161"/>
      <c r="E318" s="161"/>
      <c r="F318" s="161"/>
      <c r="G318" s="167"/>
      <c r="H318" s="161"/>
    </row>
    <row r="319" spans="2:8" x14ac:dyDescent="0.25">
      <c r="B319" s="165"/>
      <c r="C319" s="159"/>
      <c r="D319" s="161"/>
      <c r="E319" s="161"/>
      <c r="F319" s="161"/>
      <c r="G319" s="167"/>
      <c r="H319" s="161"/>
    </row>
    <row r="320" spans="2:8" x14ac:dyDescent="0.25">
      <c r="B320" s="165"/>
      <c r="C320" s="159"/>
      <c r="D320" s="161"/>
      <c r="E320" s="161"/>
      <c r="F320" s="161"/>
      <c r="G320" s="167"/>
      <c r="H320" s="161"/>
    </row>
    <row r="321" spans="2:8" x14ac:dyDescent="0.25">
      <c r="B321" s="165"/>
      <c r="C321" s="159"/>
      <c r="D321" s="161"/>
      <c r="E321" s="161"/>
      <c r="F321" s="161"/>
      <c r="G321" s="167"/>
      <c r="H321" s="161"/>
    </row>
    <row r="322" spans="2:8" x14ac:dyDescent="0.25">
      <c r="B322" s="165"/>
      <c r="C322" s="159"/>
      <c r="D322" s="161"/>
      <c r="E322" s="161"/>
      <c r="F322" s="161"/>
      <c r="G322" s="167"/>
      <c r="H322" s="161"/>
    </row>
    <row r="323" spans="2:8" x14ac:dyDescent="0.25">
      <c r="B323" s="165"/>
      <c r="C323" s="159"/>
      <c r="D323" s="161"/>
      <c r="E323" s="161"/>
      <c r="F323" s="161"/>
      <c r="G323" s="167"/>
      <c r="H323" s="161"/>
    </row>
    <row r="324" spans="2:8" x14ac:dyDescent="0.25">
      <c r="B324" s="165"/>
      <c r="C324" s="159"/>
      <c r="D324" s="161"/>
      <c r="E324" s="161"/>
      <c r="F324" s="161"/>
      <c r="G324" s="167"/>
      <c r="H324" s="161"/>
    </row>
    <row r="325" spans="2:8" x14ac:dyDescent="0.25">
      <c r="B325" s="165"/>
      <c r="C325" s="159"/>
      <c r="D325" s="161"/>
      <c r="E325" s="161"/>
      <c r="F325" s="161"/>
      <c r="G325" s="167"/>
      <c r="H325" s="161"/>
    </row>
    <row r="326" spans="2:8" x14ac:dyDescent="0.25">
      <c r="B326" s="165"/>
      <c r="C326" s="159"/>
      <c r="D326" s="161"/>
      <c r="E326" s="161"/>
      <c r="F326" s="161"/>
      <c r="G326" s="167"/>
      <c r="H326" s="161"/>
    </row>
    <row r="327" spans="2:8" x14ac:dyDescent="0.25">
      <c r="B327" s="165"/>
      <c r="C327" s="159"/>
      <c r="D327" s="161"/>
      <c r="E327" s="161"/>
      <c r="F327" s="161"/>
      <c r="G327" s="167"/>
      <c r="H327" s="161"/>
    </row>
    <row r="328" spans="2:8" x14ac:dyDescent="0.25">
      <c r="B328" s="165"/>
      <c r="C328" s="159"/>
      <c r="D328" s="161"/>
      <c r="E328" s="161"/>
      <c r="F328" s="161"/>
      <c r="G328" s="167"/>
      <c r="H328" s="161"/>
    </row>
    <row r="329" spans="2:8" x14ac:dyDescent="0.25">
      <c r="B329" s="165"/>
      <c r="C329" s="159"/>
      <c r="D329" s="161"/>
      <c r="E329" s="161"/>
      <c r="F329" s="161"/>
      <c r="G329" s="167"/>
      <c r="H329" s="161"/>
    </row>
    <row r="330" spans="2:8" x14ac:dyDescent="0.25">
      <c r="B330" s="165"/>
      <c r="C330" s="159"/>
      <c r="D330" s="161"/>
      <c r="E330" s="161"/>
      <c r="F330" s="161"/>
      <c r="G330" s="167"/>
      <c r="H330" s="161"/>
    </row>
    <row r="331" spans="2:8" x14ac:dyDescent="0.25">
      <c r="B331" s="165"/>
      <c r="C331" s="159"/>
      <c r="D331" s="161"/>
      <c r="E331" s="161"/>
      <c r="F331" s="161"/>
      <c r="G331" s="167"/>
      <c r="H331" s="161"/>
    </row>
    <row r="332" spans="2:8" x14ac:dyDescent="0.25">
      <c r="B332" s="165"/>
      <c r="C332" s="159"/>
      <c r="D332" s="161"/>
      <c r="E332" s="161"/>
      <c r="F332" s="161"/>
      <c r="G332" s="167"/>
      <c r="H332" s="161"/>
    </row>
    <row r="333" spans="2:8" x14ac:dyDescent="0.25">
      <c r="B333" s="165"/>
      <c r="C333" s="159"/>
      <c r="D333" s="161"/>
      <c r="E333" s="161"/>
      <c r="F333" s="161"/>
      <c r="G333" s="167"/>
      <c r="H333" s="161"/>
    </row>
    <row r="334" spans="2:8" x14ac:dyDescent="0.25">
      <c r="B334" s="165"/>
      <c r="C334" s="159"/>
      <c r="D334" s="161"/>
      <c r="E334" s="161"/>
      <c r="F334" s="161"/>
      <c r="G334" s="167"/>
      <c r="H334" s="161"/>
    </row>
    <row r="335" spans="2:8" x14ac:dyDescent="0.25">
      <c r="B335" s="165"/>
      <c r="C335" s="159"/>
      <c r="D335" s="161"/>
      <c r="E335" s="161"/>
      <c r="F335" s="161"/>
      <c r="G335" s="167"/>
      <c r="H335" s="161"/>
    </row>
    <row r="336" spans="2:8" x14ac:dyDescent="0.25">
      <c r="B336" s="165"/>
      <c r="C336" s="159"/>
      <c r="D336" s="161"/>
      <c r="E336" s="161"/>
      <c r="F336" s="161"/>
      <c r="G336" s="167"/>
      <c r="H336" s="161"/>
    </row>
    <row r="337" spans="2:8" x14ac:dyDescent="0.25">
      <c r="B337" s="165"/>
      <c r="C337" s="159"/>
      <c r="D337" s="161"/>
      <c r="E337" s="161"/>
      <c r="F337" s="161"/>
      <c r="G337" s="167"/>
      <c r="H337" s="161"/>
    </row>
    <row r="338" spans="2:8" x14ac:dyDescent="0.25">
      <c r="B338" s="165"/>
      <c r="C338" s="159"/>
      <c r="D338" s="161"/>
      <c r="E338" s="161"/>
      <c r="F338" s="161"/>
      <c r="G338" s="167"/>
      <c r="H338" s="161"/>
    </row>
    <row r="339" spans="2:8" x14ac:dyDescent="0.25">
      <c r="B339" s="165"/>
      <c r="C339" s="159"/>
      <c r="D339" s="161"/>
      <c r="E339" s="161"/>
      <c r="F339" s="161"/>
      <c r="G339" s="167"/>
      <c r="H339" s="161"/>
    </row>
    <row r="340" spans="2:8" x14ac:dyDescent="0.25">
      <c r="B340" s="165"/>
      <c r="C340" s="159"/>
      <c r="D340" s="161"/>
      <c r="E340" s="161"/>
      <c r="F340" s="161"/>
      <c r="G340" s="167"/>
      <c r="H340" s="161"/>
    </row>
    <row r="341" spans="2:8" x14ac:dyDescent="0.25">
      <c r="B341" s="165"/>
      <c r="C341" s="159"/>
      <c r="D341" s="161"/>
      <c r="E341" s="161"/>
      <c r="F341" s="161"/>
      <c r="G341" s="167"/>
      <c r="H341" s="161"/>
    </row>
    <row r="342" spans="2:8" x14ac:dyDescent="0.25">
      <c r="B342" s="165"/>
      <c r="C342" s="159"/>
      <c r="D342" s="161"/>
      <c r="E342" s="161"/>
      <c r="F342" s="161"/>
      <c r="G342" s="167"/>
      <c r="H342" s="161"/>
    </row>
    <row r="343" spans="2:8" x14ac:dyDescent="0.25">
      <c r="B343" s="165"/>
      <c r="C343" s="159"/>
      <c r="D343" s="161"/>
      <c r="E343" s="161"/>
      <c r="F343" s="161"/>
      <c r="G343" s="167"/>
      <c r="H343" s="161"/>
    </row>
    <row r="344" spans="2:8" x14ac:dyDescent="0.25">
      <c r="B344" s="165"/>
      <c r="C344" s="159"/>
      <c r="D344" s="161"/>
      <c r="E344" s="161"/>
      <c r="F344" s="161"/>
      <c r="G344" s="167"/>
      <c r="H344" s="161"/>
    </row>
    <row r="345" spans="2:8" x14ac:dyDescent="0.25">
      <c r="B345" s="165"/>
      <c r="C345" s="159"/>
      <c r="D345" s="161"/>
      <c r="E345" s="161"/>
      <c r="F345" s="161"/>
      <c r="G345" s="167"/>
      <c r="H345" s="161"/>
    </row>
    <row r="346" spans="2:8" x14ac:dyDescent="0.25">
      <c r="B346" s="165"/>
      <c r="C346" s="159"/>
      <c r="D346" s="161"/>
      <c r="E346" s="161"/>
      <c r="F346" s="161"/>
      <c r="G346" s="167"/>
      <c r="H346" s="161"/>
    </row>
    <row r="347" spans="2:8" x14ac:dyDescent="0.25">
      <c r="B347" s="165"/>
      <c r="C347" s="159"/>
      <c r="D347" s="161"/>
      <c r="E347" s="161"/>
      <c r="F347" s="161"/>
      <c r="G347" s="167"/>
      <c r="H347" s="161"/>
    </row>
    <row r="348" spans="2:8" x14ac:dyDescent="0.25">
      <c r="B348" s="165"/>
      <c r="C348" s="159"/>
      <c r="D348" s="161"/>
      <c r="E348" s="161"/>
      <c r="F348" s="161"/>
      <c r="G348" s="167"/>
      <c r="H348" s="161"/>
    </row>
    <row r="349" spans="2:8" x14ac:dyDescent="0.25">
      <c r="B349" s="165"/>
      <c r="C349" s="159"/>
      <c r="D349" s="161"/>
      <c r="E349" s="161"/>
      <c r="F349" s="161"/>
      <c r="G349" s="167"/>
      <c r="H349" s="161"/>
    </row>
    <row r="350" spans="2:8" x14ac:dyDescent="0.25">
      <c r="B350" s="165"/>
      <c r="C350" s="159"/>
      <c r="D350" s="161"/>
      <c r="E350" s="161"/>
      <c r="F350" s="161"/>
      <c r="G350" s="167"/>
      <c r="H350" s="161"/>
    </row>
    <row r="351" spans="2:8" x14ac:dyDescent="0.25">
      <c r="B351" s="165"/>
      <c r="C351" s="159"/>
      <c r="D351" s="161"/>
      <c r="E351" s="161"/>
      <c r="F351" s="161"/>
      <c r="G351" s="167"/>
      <c r="H351" s="161"/>
    </row>
    <row r="352" spans="2:8" x14ac:dyDescent="0.25">
      <c r="B352" s="165"/>
      <c r="C352" s="159"/>
      <c r="D352" s="161"/>
      <c r="E352" s="161"/>
      <c r="F352" s="161"/>
      <c r="G352" s="167"/>
      <c r="H352" s="161"/>
    </row>
    <row r="353" spans="2:8" x14ac:dyDescent="0.25">
      <c r="B353" s="165"/>
      <c r="C353" s="159"/>
      <c r="D353" s="161"/>
      <c r="E353" s="161"/>
      <c r="F353" s="161"/>
      <c r="G353" s="167"/>
      <c r="H353" s="161"/>
    </row>
    <row r="354" spans="2:8" x14ac:dyDescent="0.25">
      <c r="B354" s="165"/>
      <c r="C354" s="159"/>
      <c r="D354" s="161"/>
      <c r="E354" s="161"/>
      <c r="F354" s="161"/>
      <c r="G354" s="167"/>
      <c r="H354" s="161"/>
    </row>
    <row r="355" spans="2:8" x14ac:dyDescent="0.25">
      <c r="B355" s="165"/>
      <c r="C355" s="159"/>
      <c r="D355" s="161"/>
      <c r="E355" s="161"/>
      <c r="F355" s="161"/>
      <c r="G355" s="167"/>
      <c r="H355" s="161"/>
    </row>
    <row r="356" spans="2:8" x14ac:dyDescent="0.25">
      <c r="B356" s="165"/>
      <c r="C356" s="159"/>
      <c r="D356" s="161"/>
      <c r="E356" s="161"/>
      <c r="F356" s="161"/>
      <c r="G356" s="167"/>
      <c r="H356" s="161"/>
    </row>
    <row r="357" spans="2:8" x14ac:dyDescent="0.25">
      <c r="B357" s="165"/>
      <c r="C357" s="159"/>
      <c r="D357" s="161"/>
      <c r="E357" s="161"/>
      <c r="F357" s="161"/>
      <c r="G357" s="167"/>
      <c r="H357" s="161"/>
    </row>
    <row r="358" spans="2:8" x14ac:dyDescent="0.25">
      <c r="B358" s="165"/>
      <c r="C358" s="159"/>
      <c r="D358" s="161"/>
      <c r="E358" s="161"/>
      <c r="F358" s="161"/>
      <c r="G358" s="167"/>
      <c r="H358" s="161"/>
    </row>
    <row r="359" spans="2:8" x14ac:dyDescent="0.25">
      <c r="B359" s="165"/>
      <c r="C359" s="159"/>
      <c r="D359" s="161"/>
      <c r="E359" s="161"/>
      <c r="F359" s="161"/>
      <c r="G359" s="167"/>
      <c r="H359" s="161"/>
    </row>
    <row r="360" spans="2:8" x14ac:dyDescent="0.25">
      <c r="B360" s="165"/>
      <c r="C360" s="159"/>
      <c r="D360" s="161"/>
      <c r="E360" s="161"/>
      <c r="F360" s="161"/>
      <c r="G360" s="167"/>
      <c r="H360" s="161"/>
    </row>
    <row r="361" spans="2:8" x14ac:dyDescent="0.25">
      <c r="B361" s="165"/>
      <c r="C361" s="159"/>
      <c r="D361" s="161"/>
      <c r="E361" s="161"/>
      <c r="F361" s="161"/>
      <c r="G361" s="167"/>
      <c r="H361" s="161"/>
    </row>
    <row r="362" spans="2:8" x14ac:dyDescent="0.25">
      <c r="B362" s="165"/>
      <c r="C362" s="159"/>
      <c r="D362" s="161"/>
      <c r="E362" s="161"/>
      <c r="F362" s="161"/>
      <c r="G362" s="167"/>
      <c r="H362" s="161"/>
    </row>
    <row r="363" spans="2:8" x14ac:dyDescent="0.25">
      <c r="B363" s="165"/>
      <c r="C363" s="159"/>
      <c r="D363" s="161"/>
      <c r="E363" s="161"/>
      <c r="F363" s="161"/>
      <c r="G363" s="167"/>
      <c r="H363" s="161"/>
    </row>
    <row r="364" spans="2:8" x14ac:dyDescent="0.25">
      <c r="B364" s="165"/>
      <c r="C364" s="159"/>
      <c r="D364" s="161"/>
      <c r="E364" s="161"/>
      <c r="F364" s="161"/>
      <c r="G364" s="167"/>
      <c r="H364" s="161"/>
    </row>
    <row r="365" spans="2:8" x14ac:dyDescent="0.25">
      <c r="B365" s="165"/>
      <c r="C365" s="159"/>
      <c r="D365" s="161"/>
      <c r="E365" s="161"/>
      <c r="F365" s="161"/>
      <c r="G365" s="167"/>
      <c r="H365" s="161"/>
    </row>
    <row r="366" spans="2:8" x14ac:dyDescent="0.25">
      <c r="B366" s="165"/>
      <c r="C366" s="159"/>
      <c r="D366" s="161"/>
      <c r="E366" s="161"/>
      <c r="F366" s="161"/>
      <c r="G366" s="167"/>
      <c r="H366" s="161"/>
    </row>
    <row r="367" spans="2:8" x14ac:dyDescent="0.25">
      <c r="B367" s="165"/>
      <c r="C367" s="159"/>
      <c r="D367" s="161"/>
      <c r="E367" s="161"/>
      <c r="F367" s="161"/>
      <c r="G367" s="167"/>
      <c r="H367" s="161"/>
    </row>
    <row r="368" spans="2:8" x14ac:dyDescent="0.25">
      <c r="B368" s="165"/>
      <c r="C368" s="159"/>
      <c r="D368" s="161"/>
      <c r="E368" s="161"/>
      <c r="F368" s="161"/>
      <c r="G368" s="167"/>
      <c r="H368" s="161"/>
    </row>
    <row r="369" spans="2:8" x14ac:dyDescent="0.25">
      <c r="B369" s="165"/>
      <c r="C369" s="159"/>
      <c r="D369" s="161"/>
      <c r="E369" s="161"/>
      <c r="F369" s="161"/>
      <c r="G369" s="167"/>
      <c r="H369" s="161"/>
    </row>
    <row r="370" spans="2:8" x14ac:dyDescent="0.25">
      <c r="B370" s="165"/>
      <c r="C370" s="159"/>
      <c r="D370" s="161"/>
      <c r="E370" s="161"/>
      <c r="F370" s="161"/>
      <c r="G370" s="167"/>
      <c r="H370" s="161"/>
    </row>
    <row r="371" spans="2:8" x14ac:dyDescent="0.25">
      <c r="B371" s="165"/>
      <c r="C371" s="159"/>
      <c r="D371" s="161"/>
      <c r="E371" s="161"/>
      <c r="F371" s="161"/>
      <c r="G371" s="167"/>
      <c r="H371" s="161"/>
    </row>
    <row r="372" spans="2:8" x14ac:dyDescent="0.25">
      <c r="B372" s="165"/>
      <c r="C372" s="159"/>
      <c r="D372" s="161"/>
      <c r="E372" s="161"/>
      <c r="F372" s="161"/>
      <c r="G372" s="167"/>
      <c r="H372" s="161"/>
    </row>
    <row r="373" spans="2:8" x14ac:dyDescent="0.25">
      <c r="B373" s="165"/>
      <c r="C373" s="159"/>
      <c r="D373" s="161"/>
      <c r="E373" s="161"/>
      <c r="F373" s="161"/>
      <c r="G373" s="167"/>
      <c r="H373" s="161"/>
    </row>
    <row r="374" spans="2:8" x14ac:dyDescent="0.25">
      <c r="B374" s="165"/>
      <c r="C374" s="159"/>
      <c r="D374" s="161"/>
      <c r="E374" s="161"/>
      <c r="F374" s="161"/>
      <c r="G374" s="167"/>
      <c r="H374" s="161"/>
    </row>
    <row r="375" spans="2:8" x14ac:dyDescent="0.25">
      <c r="B375" s="165"/>
      <c r="C375" s="159"/>
      <c r="D375" s="161"/>
      <c r="E375" s="161"/>
      <c r="F375" s="161"/>
      <c r="G375" s="167"/>
      <c r="H375" s="161"/>
    </row>
    <row r="376" spans="2:8" x14ac:dyDescent="0.25">
      <c r="B376" s="165"/>
      <c r="C376" s="159"/>
      <c r="D376" s="161"/>
      <c r="E376" s="161"/>
      <c r="F376" s="161"/>
      <c r="G376" s="167"/>
      <c r="H376" s="161"/>
    </row>
    <row r="377" spans="2:8" x14ac:dyDescent="0.25">
      <c r="B377" s="165"/>
      <c r="C377" s="159"/>
      <c r="D377" s="161"/>
      <c r="E377" s="161"/>
      <c r="F377" s="161"/>
      <c r="G377" s="167"/>
      <c r="H377" s="161"/>
    </row>
    <row r="378" spans="2:8" x14ac:dyDescent="0.25">
      <c r="B378" s="165"/>
      <c r="C378" s="159"/>
      <c r="D378" s="161"/>
      <c r="E378" s="161"/>
      <c r="F378" s="161"/>
      <c r="G378" s="167"/>
      <c r="H378" s="161"/>
    </row>
    <row r="379" spans="2:8" x14ac:dyDescent="0.25">
      <c r="B379" s="165"/>
      <c r="C379" s="159"/>
      <c r="D379" s="161"/>
      <c r="E379" s="161"/>
      <c r="F379" s="161"/>
      <c r="G379" s="167"/>
      <c r="H379" s="161"/>
    </row>
    <row r="380" spans="2:8" x14ac:dyDescent="0.25">
      <c r="B380" s="165"/>
      <c r="C380" s="159"/>
      <c r="D380" s="161"/>
      <c r="E380" s="161"/>
      <c r="F380" s="161"/>
      <c r="G380" s="167"/>
      <c r="H380" s="161"/>
    </row>
    <row r="381" spans="2:8" x14ac:dyDescent="0.25">
      <c r="B381" s="165"/>
      <c r="C381" s="159"/>
      <c r="D381" s="161"/>
      <c r="E381" s="161"/>
      <c r="F381" s="161"/>
      <c r="G381" s="167"/>
      <c r="H381" s="161"/>
    </row>
    <row r="382" spans="2:8" x14ac:dyDescent="0.25">
      <c r="B382" s="165"/>
      <c r="C382" s="159"/>
      <c r="D382" s="161"/>
      <c r="E382" s="161"/>
      <c r="F382" s="161"/>
      <c r="G382" s="167"/>
      <c r="H382" s="161"/>
    </row>
    <row r="383" spans="2:8" x14ac:dyDescent="0.25">
      <c r="B383" s="165"/>
      <c r="C383" s="159"/>
      <c r="D383" s="161"/>
      <c r="E383" s="161"/>
      <c r="F383" s="161"/>
      <c r="G383" s="167"/>
      <c r="H383" s="161"/>
    </row>
    <row r="384" spans="2:8" x14ac:dyDescent="0.25">
      <c r="B384" s="165"/>
      <c r="C384" s="159"/>
      <c r="D384" s="161"/>
      <c r="E384" s="161"/>
      <c r="F384" s="161"/>
      <c r="G384" s="167"/>
      <c r="H384" s="161"/>
    </row>
    <row r="385" spans="2:8" x14ac:dyDescent="0.25">
      <c r="B385" s="165"/>
      <c r="C385" s="159"/>
      <c r="D385" s="161"/>
      <c r="E385" s="161"/>
      <c r="F385" s="161"/>
      <c r="G385" s="167"/>
      <c r="H385" s="161"/>
    </row>
    <row r="386" spans="2:8" x14ac:dyDescent="0.25">
      <c r="B386" s="165"/>
      <c r="C386" s="159"/>
      <c r="D386" s="161"/>
      <c r="E386" s="161"/>
      <c r="F386" s="161"/>
      <c r="G386" s="167"/>
      <c r="H386" s="161"/>
    </row>
    <row r="387" spans="2:8" x14ac:dyDescent="0.25">
      <c r="B387" s="165"/>
      <c r="C387" s="159"/>
      <c r="D387" s="161"/>
      <c r="E387" s="161"/>
      <c r="F387" s="161"/>
      <c r="G387" s="167"/>
      <c r="H387" s="161"/>
    </row>
    <row r="388" spans="2:8" x14ac:dyDescent="0.25">
      <c r="B388" s="165"/>
      <c r="C388" s="159"/>
      <c r="D388" s="161"/>
      <c r="E388" s="161"/>
      <c r="F388" s="161"/>
      <c r="G388" s="167"/>
      <c r="H388" s="161"/>
    </row>
    <row r="389" spans="2:8" x14ac:dyDescent="0.25">
      <c r="B389" s="165"/>
      <c r="C389" s="159"/>
      <c r="D389" s="161"/>
      <c r="E389" s="161"/>
      <c r="F389" s="161"/>
      <c r="G389" s="167"/>
      <c r="H389" s="161"/>
    </row>
    <row r="390" spans="2:8" x14ac:dyDescent="0.25">
      <c r="B390" s="165"/>
      <c r="C390" s="159"/>
      <c r="D390" s="161"/>
      <c r="E390" s="161"/>
      <c r="F390" s="161"/>
      <c r="G390" s="167"/>
      <c r="H390" s="161"/>
    </row>
    <row r="391" spans="2:8" x14ac:dyDescent="0.25">
      <c r="B391" s="165"/>
      <c r="C391" s="159"/>
      <c r="D391" s="161"/>
      <c r="E391" s="161"/>
      <c r="F391" s="161"/>
      <c r="G391" s="167"/>
      <c r="H391" s="161"/>
    </row>
    <row r="392" spans="2:8" x14ac:dyDescent="0.25">
      <c r="B392" s="165"/>
      <c r="C392" s="159"/>
      <c r="D392" s="161"/>
      <c r="E392" s="161"/>
      <c r="F392" s="161"/>
      <c r="G392" s="167"/>
      <c r="H392" s="161"/>
    </row>
    <row r="393" spans="2:8" x14ac:dyDescent="0.25">
      <c r="B393" s="165"/>
      <c r="C393" s="159"/>
      <c r="D393" s="161"/>
      <c r="E393" s="161"/>
      <c r="F393" s="161"/>
      <c r="G393" s="167"/>
      <c r="H393" s="161"/>
    </row>
    <row r="394" spans="2:8" x14ac:dyDescent="0.25">
      <c r="B394" s="165"/>
      <c r="C394" s="159"/>
      <c r="D394" s="161"/>
      <c r="E394" s="161"/>
      <c r="F394" s="161"/>
      <c r="G394" s="167"/>
      <c r="H394" s="161"/>
    </row>
    <row r="395" spans="2:8" x14ac:dyDescent="0.25">
      <c r="B395" s="165"/>
      <c r="C395" s="159"/>
      <c r="D395" s="161"/>
      <c r="E395" s="161"/>
      <c r="F395" s="161"/>
      <c r="G395" s="167"/>
      <c r="H395" s="161"/>
    </row>
    <row r="396" spans="2:8" x14ac:dyDescent="0.25">
      <c r="B396" s="165"/>
      <c r="C396" s="159"/>
      <c r="D396" s="161"/>
      <c r="E396" s="161"/>
      <c r="F396" s="161"/>
      <c r="G396" s="167"/>
      <c r="H396" s="161"/>
    </row>
    <row r="397" spans="2:8" x14ac:dyDescent="0.25">
      <c r="B397" s="165"/>
      <c r="C397" s="159"/>
      <c r="D397" s="161"/>
      <c r="E397" s="161"/>
      <c r="F397" s="161"/>
      <c r="G397" s="167"/>
      <c r="H397" s="161"/>
    </row>
    <row r="398" spans="2:8" x14ac:dyDescent="0.25">
      <c r="B398" s="165"/>
      <c r="C398" s="159"/>
      <c r="D398" s="161"/>
      <c r="E398" s="161"/>
      <c r="F398" s="161"/>
      <c r="G398" s="167"/>
      <c r="H398" s="161"/>
    </row>
    <row r="399" spans="2:8" x14ac:dyDescent="0.25">
      <c r="B399" s="165"/>
      <c r="C399" s="159"/>
      <c r="D399" s="161"/>
      <c r="E399" s="161"/>
      <c r="F399" s="161"/>
      <c r="G399" s="167"/>
      <c r="H399" s="161"/>
    </row>
    <row r="400" spans="2:8" x14ac:dyDescent="0.25">
      <c r="B400" s="165"/>
      <c r="C400" s="159"/>
      <c r="D400" s="161"/>
      <c r="E400" s="161"/>
      <c r="F400" s="161"/>
      <c r="G400" s="167"/>
      <c r="H400" s="161"/>
    </row>
    <row r="401" spans="2:8" x14ac:dyDescent="0.25">
      <c r="B401" s="165"/>
      <c r="C401" s="159"/>
      <c r="D401" s="161"/>
      <c r="E401" s="161"/>
      <c r="F401" s="161"/>
      <c r="G401" s="167"/>
      <c r="H401" s="161"/>
    </row>
    <row r="402" spans="2:8" x14ac:dyDescent="0.25">
      <c r="B402" s="165"/>
      <c r="C402" s="159"/>
      <c r="D402" s="161"/>
      <c r="E402" s="161"/>
      <c r="F402" s="161"/>
      <c r="G402" s="167"/>
      <c r="H402" s="161"/>
    </row>
    <row r="403" spans="2:8" x14ac:dyDescent="0.25">
      <c r="B403" s="165"/>
      <c r="C403" s="159"/>
      <c r="D403" s="161"/>
      <c r="E403" s="161"/>
      <c r="F403" s="161"/>
      <c r="G403" s="167"/>
      <c r="H403" s="161"/>
    </row>
    <row r="404" spans="2:8" x14ac:dyDescent="0.25">
      <c r="B404" s="165"/>
      <c r="C404" s="159"/>
      <c r="D404" s="161"/>
      <c r="E404" s="161"/>
      <c r="F404" s="161"/>
      <c r="G404" s="167"/>
      <c r="H404" s="161"/>
    </row>
    <row r="405" spans="2:8" x14ac:dyDescent="0.25">
      <c r="B405" s="165"/>
      <c r="C405" s="159"/>
      <c r="D405" s="161"/>
      <c r="E405" s="161"/>
      <c r="F405" s="161"/>
      <c r="G405" s="167"/>
      <c r="H405" s="161"/>
    </row>
    <row r="406" spans="2:8" x14ac:dyDescent="0.25">
      <c r="B406" s="165"/>
      <c r="C406" s="159"/>
      <c r="D406" s="161"/>
      <c r="E406" s="161"/>
      <c r="F406" s="161"/>
      <c r="G406" s="167"/>
      <c r="H406" s="161"/>
    </row>
    <row r="407" spans="2:8" x14ac:dyDescent="0.25">
      <c r="B407" s="165"/>
      <c r="C407" s="159"/>
      <c r="D407" s="161"/>
      <c r="E407" s="161"/>
      <c r="F407" s="161"/>
      <c r="G407" s="167"/>
      <c r="H407" s="161"/>
    </row>
    <row r="408" spans="2:8" x14ac:dyDescent="0.25">
      <c r="B408" s="165"/>
      <c r="C408" s="159"/>
      <c r="D408" s="161"/>
      <c r="E408" s="161"/>
      <c r="F408" s="161"/>
      <c r="G408" s="167"/>
      <c r="H408" s="161"/>
    </row>
    <row r="409" spans="2:8" x14ac:dyDescent="0.25">
      <c r="B409" s="165"/>
      <c r="C409" s="159"/>
      <c r="D409" s="161"/>
      <c r="E409" s="161"/>
      <c r="F409" s="161"/>
      <c r="G409" s="167"/>
      <c r="H409" s="161"/>
    </row>
    <row r="410" spans="2:8" x14ac:dyDescent="0.25">
      <c r="B410" s="165"/>
      <c r="C410" s="159"/>
      <c r="D410" s="161"/>
      <c r="E410" s="161"/>
      <c r="F410" s="161"/>
      <c r="G410" s="167"/>
      <c r="H410" s="161"/>
    </row>
    <row r="411" spans="2:8" x14ac:dyDescent="0.25">
      <c r="B411" s="165"/>
      <c r="C411" s="159"/>
      <c r="D411" s="161"/>
      <c r="E411" s="161"/>
      <c r="F411" s="161"/>
      <c r="G411" s="167"/>
      <c r="H411" s="161"/>
    </row>
    <row r="412" spans="2:8" x14ac:dyDescent="0.25">
      <c r="B412" s="165"/>
      <c r="C412" s="159"/>
      <c r="D412" s="161"/>
      <c r="E412" s="161"/>
      <c r="F412" s="161"/>
      <c r="G412" s="167"/>
      <c r="H412" s="161"/>
    </row>
    <row r="413" spans="2:8" x14ac:dyDescent="0.25">
      <c r="B413" s="165"/>
      <c r="C413" s="159"/>
      <c r="D413" s="161"/>
      <c r="E413" s="161"/>
      <c r="F413" s="161"/>
      <c r="G413" s="167"/>
      <c r="H413" s="161"/>
    </row>
    <row r="414" spans="2:8" x14ac:dyDescent="0.25">
      <c r="B414" s="165"/>
      <c r="C414" s="159"/>
      <c r="D414" s="161"/>
      <c r="E414" s="161"/>
      <c r="F414" s="161"/>
      <c r="G414" s="167"/>
      <c r="H414" s="161"/>
    </row>
    <row r="415" spans="2:8" x14ac:dyDescent="0.25">
      <c r="B415" s="165"/>
      <c r="C415" s="159"/>
      <c r="D415" s="161"/>
      <c r="E415" s="161"/>
      <c r="F415" s="161"/>
      <c r="G415" s="167"/>
      <c r="H415" s="161"/>
    </row>
  </sheetData>
  <autoFilter ref="A2:H208" xr:uid="{9A85DCA7-F142-4C7C-937D-98425502BF74}"/>
  <mergeCells count="1">
    <mergeCell ref="Q7:S7"/>
  </mergeCells>
  <phoneticPr fontId="10" type="noConversion"/>
  <conditionalFormatting sqref="AI49:AI9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{8C8976E5-D24D-45C4-8F81-0F9C1B2EE6D3}</x14:id>
        </ext>
      </extLst>
    </cfRule>
  </conditionalFormatting>
  <conditionalFormatting sqref="AL77:AL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{1A4EAEE5-0A42-42A8-83DC-1EB9F3EAD982}</x14:id>
        </ext>
      </extLst>
    </cfRule>
  </conditionalFormatting>
  <conditionalFormatting sqref="AL9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{8AB62FA1-1863-4493-A522-83C8D28F1293}</x14:id>
        </ext>
      </extLst>
    </cfRule>
  </conditionalFormatting>
  <dataValidations count="1">
    <dataValidation type="list" allowBlank="1" showInputMessage="1" showErrorMessage="1" sqref="C3:C173" xr:uid="{50451ACE-6CAE-4043-A94D-ED55D7A6BE70}">
      <formula1>$J$46:$J$56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8976E5-D24D-45C4-8F81-0F9C1B2EE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AI49:AI97</xm:sqref>
        </x14:conditionalFormatting>
        <x14:conditionalFormatting xmlns:xm="http://schemas.microsoft.com/office/excel/2006/main">
          <x14:cfRule type="dataBar" id="{1A4EAEE5-0A42-42A8-83DC-1EB9F3EAD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AL77:AL78</xm:sqref>
        </x14:conditionalFormatting>
        <x14:conditionalFormatting xmlns:xm="http://schemas.microsoft.com/office/excel/2006/main">
          <x14:cfRule type="dataBar" id="{8AB62FA1-1863-4493-A522-83C8D28F12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B63B-1500-4AA2-98AE-4AD5D558ADF8}">
  <sheetPr codeName="Feuil6"/>
  <dimension ref="A1:AB239"/>
  <sheetViews>
    <sheetView view="pageBreakPreview" zoomScale="60" zoomScaleNormal="100" workbookViewId="0">
      <pane xSplit="2" ySplit="20" topLeftCell="C21" activePane="bottomRight" state="frozen"/>
      <selection pane="topRight" activeCell="C1" sqref="C1"/>
      <selection pane="bottomLeft" activeCell="A21" sqref="A21"/>
      <selection pane="bottomRight" activeCell="N20" sqref="N20"/>
    </sheetView>
  </sheetViews>
  <sheetFormatPr baseColWidth="10" defaultColWidth="9.140625" defaultRowHeight="15" x14ac:dyDescent="0.25"/>
  <cols>
    <col min="1" max="1" width="4.28515625" style="24" customWidth="1"/>
    <col min="2" max="2" width="44.85546875" style="24" customWidth="1"/>
    <col min="3" max="4" width="17.7109375" style="24" customWidth="1"/>
    <col min="5" max="5" width="15.5703125" style="24" customWidth="1"/>
    <col min="6" max="12" width="13.7109375" style="24" customWidth="1"/>
    <col min="13" max="14" width="25.7109375" style="130" customWidth="1"/>
    <col min="15" max="15" width="25.7109375" style="122" customWidth="1"/>
    <col min="16" max="20" width="17.5703125" customWidth="1"/>
    <col min="21" max="24" width="15.7109375" customWidth="1"/>
    <col min="25" max="26" width="15.7109375" style="122" customWidth="1"/>
  </cols>
  <sheetData>
    <row r="1" spans="2:23" x14ac:dyDescent="0.25">
      <c r="N1" s="198"/>
    </row>
    <row r="2" spans="2:23" ht="23.25" x14ac:dyDescent="0.35">
      <c r="B2" s="135" t="s">
        <v>328</v>
      </c>
      <c r="C2" s="135"/>
      <c r="D2" s="135"/>
      <c r="I2" s="24">
        <v>2835</v>
      </c>
      <c r="M2" s="131"/>
      <c r="N2" s="198"/>
      <c r="V2" s="136"/>
      <c r="W2" s="136"/>
    </row>
    <row r="3" spans="2:23" ht="23.25" x14ac:dyDescent="0.35">
      <c r="B3" s="135"/>
      <c r="C3" s="135"/>
      <c r="D3" s="135"/>
      <c r="H3" s="24">
        <f>20%*9310</f>
        <v>1862</v>
      </c>
      <c r="I3" s="24">
        <f>+G34*20.25%</f>
        <v>2897.3700000000003</v>
      </c>
      <c r="N3" s="198"/>
      <c r="V3" s="136"/>
      <c r="W3" s="136"/>
    </row>
    <row r="4" spans="2:23" x14ac:dyDescent="0.25">
      <c r="E4" s="172" t="s">
        <v>329</v>
      </c>
      <c r="N4" s="131"/>
    </row>
    <row r="5" spans="2:23" ht="45" x14ac:dyDescent="0.25">
      <c r="E5" s="138" t="s">
        <v>370</v>
      </c>
      <c r="F5" s="138" t="s">
        <v>371</v>
      </c>
      <c r="G5" s="149">
        <v>1</v>
      </c>
      <c r="H5" s="150">
        <v>300000</v>
      </c>
      <c r="N5" s="131"/>
    </row>
    <row r="6" spans="2:23" ht="23.25" customHeight="1" x14ac:dyDescent="0.25">
      <c r="G6" s="1" t="s">
        <v>333</v>
      </c>
      <c r="I6" s="173" t="s">
        <v>322</v>
      </c>
      <c r="J6" s="173" t="s">
        <v>434</v>
      </c>
      <c r="K6" s="146"/>
      <c r="M6" s="148"/>
      <c r="N6" s="131"/>
    </row>
    <row r="7" spans="2:23" x14ac:dyDescent="0.25">
      <c r="G7" s="24">
        <f>+'Pricing Turkey'!K2</f>
        <v>9.8000000000000007</v>
      </c>
      <c r="I7" s="151">
        <v>0.15</v>
      </c>
      <c r="J7" s="151">
        <v>0.03</v>
      </c>
      <c r="K7" s="151">
        <v>7.0000000000000007E-2</v>
      </c>
      <c r="L7" s="151">
        <v>0.25</v>
      </c>
      <c r="M7" s="131"/>
      <c r="N7" s="131"/>
    </row>
    <row r="8" spans="2:23" x14ac:dyDescent="0.25">
      <c r="I8" s="24" t="s">
        <v>366</v>
      </c>
      <c r="J8" s="24" t="s">
        <v>345</v>
      </c>
      <c r="K8" s="171"/>
      <c r="L8" s="171"/>
      <c r="M8" s="131"/>
      <c r="N8" s="131"/>
    </row>
    <row r="9" spans="2:23" x14ac:dyDescent="0.25">
      <c r="I9" s="149">
        <v>1500</v>
      </c>
      <c r="J9" s="139">
        <f>SUM(J11:J17)</f>
        <v>54700</v>
      </c>
      <c r="L9" s="171"/>
      <c r="M9" s="131"/>
      <c r="N9" s="131"/>
    </row>
    <row r="10" spans="2:23" x14ac:dyDescent="0.25">
      <c r="I10" s="24" t="s">
        <v>367</v>
      </c>
      <c r="J10" s="24" t="s">
        <v>342</v>
      </c>
      <c r="L10" s="171"/>
      <c r="M10" s="131"/>
      <c r="N10" s="131"/>
    </row>
    <row r="11" spans="2:23" x14ac:dyDescent="0.25">
      <c r="I11" s="149">
        <v>3700</v>
      </c>
      <c r="J11" s="150">
        <v>8000</v>
      </c>
      <c r="L11" s="171"/>
      <c r="M11" s="131"/>
      <c r="N11" s="131"/>
    </row>
    <row r="12" spans="2:23" x14ac:dyDescent="0.25">
      <c r="I12" s="24" t="s">
        <v>368</v>
      </c>
      <c r="J12" s="24" t="s">
        <v>343</v>
      </c>
      <c r="L12" s="171"/>
      <c r="M12" s="131"/>
      <c r="N12" s="131"/>
    </row>
    <row r="13" spans="2:23" x14ac:dyDescent="0.25">
      <c r="I13" s="149">
        <v>1000</v>
      </c>
      <c r="J13" s="150">
        <v>35000</v>
      </c>
      <c r="L13" s="171"/>
      <c r="M13" s="131"/>
      <c r="N13" s="131"/>
    </row>
    <row r="14" spans="2:23" x14ac:dyDescent="0.25">
      <c r="I14" s="24" t="s">
        <v>369</v>
      </c>
      <c r="J14" s="24" t="s">
        <v>435</v>
      </c>
      <c r="L14" s="171"/>
      <c r="M14" s="131"/>
      <c r="N14" s="131"/>
    </row>
    <row r="15" spans="2:23" x14ac:dyDescent="0.25">
      <c r="I15" s="149">
        <v>1000</v>
      </c>
      <c r="J15" s="149">
        <f>4700+3500</f>
        <v>8200</v>
      </c>
      <c r="K15" s="171"/>
      <c r="L15" s="171"/>
      <c r="M15" s="131"/>
      <c r="N15" s="131"/>
    </row>
    <row r="16" spans="2:23" x14ac:dyDescent="0.25">
      <c r="I16" s="171" t="s">
        <v>980</v>
      </c>
      <c r="J16" s="24" t="s">
        <v>344</v>
      </c>
      <c r="K16" s="171"/>
      <c r="L16" s="171"/>
      <c r="M16" s="131"/>
      <c r="N16" s="131"/>
    </row>
    <row r="17" spans="1:26" x14ac:dyDescent="0.25">
      <c r="I17" s="149">
        <v>5000</v>
      </c>
      <c r="J17" s="149">
        <v>3500</v>
      </c>
      <c r="K17" s="171"/>
      <c r="L17" s="171"/>
      <c r="M17" s="131"/>
      <c r="N17" s="131"/>
    </row>
    <row r="18" spans="1:26" x14ac:dyDescent="0.25">
      <c r="I18" s="171"/>
      <c r="J18" s="171"/>
      <c r="K18" s="171"/>
      <c r="L18" s="171"/>
      <c r="M18" s="131"/>
      <c r="N18" s="131"/>
    </row>
    <row r="19" spans="1:26" x14ac:dyDescent="0.25">
      <c r="I19" s="171"/>
      <c r="J19" s="171"/>
      <c r="K19" s="171"/>
      <c r="L19" s="171"/>
      <c r="M19" s="131"/>
      <c r="N19" s="131"/>
    </row>
    <row r="20" spans="1:26" s="121" customFormat="1" ht="30" customHeight="1" x14ac:dyDescent="0.25">
      <c r="A20" s="121" t="s">
        <v>310</v>
      </c>
      <c r="B20" s="121" t="s">
        <v>317</v>
      </c>
      <c r="C20" s="121" t="s">
        <v>436</v>
      </c>
      <c r="D20" s="121" t="s">
        <v>365</v>
      </c>
      <c r="E20" s="121" t="s">
        <v>318</v>
      </c>
      <c r="F20" s="121" t="s">
        <v>315</v>
      </c>
      <c r="G20" s="261" t="s">
        <v>320</v>
      </c>
      <c r="H20" s="261" t="s">
        <v>314</v>
      </c>
      <c r="I20" s="261" t="s">
        <v>321</v>
      </c>
      <c r="J20" s="121" t="s">
        <v>323</v>
      </c>
      <c r="K20" s="121" t="s">
        <v>316</v>
      </c>
      <c r="L20" s="121" t="s">
        <v>319</v>
      </c>
      <c r="M20" s="121" t="s">
        <v>382</v>
      </c>
      <c r="N20" s="121" t="s">
        <v>383</v>
      </c>
      <c r="O20" s="121" t="s">
        <v>324</v>
      </c>
    </row>
    <row r="21" spans="1:26" s="120" customFormat="1" ht="21" customHeight="1" x14ac:dyDescent="0.25">
      <c r="A21" s="1" t="str">
        <f>+'Pricing Turkey'!A3</f>
        <v>IT.1</v>
      </c>
      <c r="B21" s="75" t="str">
        <f>+'Pricing Turkey'!B3</f>
        <v>SET CABINE STANDARD INOX 1200/1100 + ARCADES &amp; ACCESSOIRES GEARBOX</v>
      </c>
      <c r="C21" s="75" t="str">
        <f>+'Pricing Turkey'!C3</f>
        <v>CABINE &amp; ARCADE</v>
      </c>
      <c r="D21" s="75" t="str">
        <f>+'Pricing Turkey'!D3</f>
        <v>SET</v>
      </c>
      <c r="E21" s="75">
        <f>+'Pricing Turkey'!E3</f>
        <v>650</v>
      </c>
      <c r="F21" s="75" t="str">
        <f>+'Pricing Turkey'!F3</f>
        <v>INOX</v>
      </c>
      <c r="G21" s="123">
        <f>'Pricing Turkey'!G3*G$7</f>
        <v>14700.000000000002</v>
      </c>
      <c r="H21" s="123">
        <f t="shared" ref="H21:H52" si="0">IF(F21="STEEL",MAX(G21,E21*13)*20.25%,IF(F21="GALVA",MAX(G21,E21*24)*20.25%,IF(F21="INOX",MAX(G21,E21*40)*20.25%,IF(F21="COPPER",MAX(G21,E21*60)*20.25%,G21*20.25%))))</f>
        <v>5265</v>
      </c>
      <c r="I21" s="147">
        <f>+((I$9*G$7+I$11+I$13+I$15+I$17)*(1+I$7)+2500)/($G$5*$H$5)*G21</f>
        <v>1553.79</v>
      </c>
      <c r="J21" s="123">
        <f t="shared" ref="J21:J52" si="1">(J$9+J$7*G21)/($G$5*$H$5)*G21</f>
        <v>2701.9090000000006</v>
      </c>
      <c r="K21" s="123">
        <f t="shared" ref="K21:K52" si="2">K$7*G21</f>
        <v>1029.0000000000002</v>
      </c>
      <c r="L21" s="123">
        <f t="shared" ref="L21:L52" si="3">+G21*L$7</f>
        <v>3675.0000000000005</v>
      </c>
      <c r="M21" s="132">
        <f>+G21+H21+I21+J21*50%+K21+L21*30%</f>
        <v>25001.244500000001</v>
      </c>
      <c r="N21" s="132">
        <f>+G21+H21+I21+J21*50%+K21+L21*50%</f>
        <v>25736.244500000001</v>
      </c>
      <c r="O21" s="132">
        <f t="shared" ref="O21:O52" si="4">+SUM(H21:L21)+G21</f>
        <v>28924.699000000001</v>
      </c>
      <c r="P21" s="129"/>
      <c r="Q21" s="129"/>
      <c r="R21" s="129"/>
      <c r="S21" s="129"/>
      <c r="T21" s="133"/>
      <c r="U21" s="125"/>
      <c r="V21" s="126"/>
      <c r="W21" s="126"/>
      <c r="X21" s="126"/>
      <c r="Y21" s="132"/>
      <c r="Z21" s="132"/>
    </row>
    <row r="22" spans="1:26" s="120" customFormat="1" ht="21" customHeight="1" x14ac:dyDescent="0.25">
      <c r="A22" s="1" t="str">
        <f>+'Pricing Turkey'!A4</f>
        <v>IT.1-1</v>
      </c>
      <c r="B22" s="75" t="str">
        <f>+'Pricing Turkey'!B4</f>
        <v>CABINE INOX 1000/900 STANDARD</v>
      </c>
      <c r="C22" s="75" t="str">
        <f>+'Pricing Turkey'!C4</f>
        <v>CABINE &amp; ARCADE</v>
      </c>
      <c r="D22" s="75" t="str">
        <f>+'Pricing Turkey'!D4</f>
        <v>Pc</v>
      </c>
      <c r="E22" s="75">
        <f>+'Pricing Turkey'!E4</f>
        <v>350</v>
      </c>
      <c r="F22" s="75" t="str">
        <f>+'Pricing Turkey'!F4</f>
        <v>INOX</v>
      </c>
      <c r="G22" s="123">
        <f>'Pricing Turkey'!G4*G$7</f>
        <v>9310</v>
      </c>
      <c r="H22" s="123">
        <f t="shared" si="0"/>
        <v>2835</v>
      </c>
      <c r="I22" s="147">
        <f t="shared" ref="I22:I85" si="5">+((I$9*G$7+I$11+I$13+I$15+I$17)*(1+I$7)+2500)/($G$5*$H$5)*G22</f>
        <v>984.06699999999989</v>
      </c>
      <c r="J22" s="123">
        <f t="shared" si="1"/>
        <v>1706.1909433333333</v>
      </c>
      <c r="K22" s="123">
        <f t="shared" si="2"/>
        <v>651.70000000000005</v>
      </c>
      <c r="L22" s="123">
        <f t="shared" si="3"/>
        <v>2327.5</v>
      </c>
      <c r="M22" s="132">
        <f t="shared" ref="M22:M85" si="6">+G22+H22+I22+J22*50%+K22+L22*30%</f>
        <v>15332.112471666667</v>
      </c>
      <c r="N22" s="132">
        <f t="shared" ref="N22:N36" si="7">+G22+H22+I22+J22*50%+K22+L22*50%</f>
        <v>15797.612471666667</v>
      </c>
      <c r="O22" s="132">
        <f t="shared" si="4"/>
        <v>17814.457943333335</v>
      </c>
      <c r="P22" s="129"/>
      <c r="Q22" s="129"/>
      <c r="R22" s="129"/>
      <c r="S22" s="129"/>
      <c r="T22" s="133"/>
      <c r="U22" s="125"/>
      <c r="V22" s="126"/>
      <c r="W22" s="126"/>
      <c r="X22" s="126"/>
      <c r="Y22" s="132"/>
      <c r="Z22" s="132"/>
    </row>
    <row r="23" spans="1:26" s="120" customFormat="1" ht="21" customHeight="1" x14ac:dyDescent="0.25">
      <c r="A23" s="1" t="str">
        <f>+'Pricing Turkey'!A5</f>
        <v>IT.1-2</v>
      </c>
      <c r="B23" s="75" t="str">
        <f>+'Pricing Turkey'!B5</f>
        <v>CABINE INOX 1000/900 PERSONALISÉE</v>
      </c>
      <c r="C23" s="75" t="str">
        <f>+'Pricing Turkey'!C5</f>
        <v>CABINE &amp; ARCADE</v>
      </c>
      <c r="D23" s="75" t="str">
        <f>+'Pricing Turkey'!D5</f>
        <v>Pc</v>
      </c>
      <c r="E23" s="75">
        <f>+'Pricing Turkey'!E5</f>
        <v>350</v>
      </c>
      <c r="F23" s="75" t="str">
        <f>+'Pricing Turkey'!F5</f>
        <v>INOX</v>
      </c>
      <c r="G23" s="123">
        <f>'Pricing Turkey'!G5*G$7</f>
        <v>11760</v>
      </c>
      <c r="H23" s="123">
        <f t="shared" si="0"/>
        <v>2835</v>
      </c>
      <c r="I23" s="147">
        <f t="shared" si="5"/>
        <v>1243.0319999999999</v>
      </c>
      <c r="J23" s="123">
        <f t="shared" si="1"/>
        <v>2158.0697599999999</v>
      </c>
      <c r="K23" s="123">
        <f t="shared" si="2"/>
        <v>823.2</v>
      </c>
      <c r="L23" s="123">
        <f t="shared" si="3"/>
        <v>2940</v>
      </c>
      <c r="M23" s="132">
        <f t="shared" si="6"/>
        <v>18622.266879999999</v>
      </c>
      <c r="N23" s="132">
        <f t="shared" si="7"/>
        <v>19210.266879999999</v>
      </c>
      <c r="O23" s="132">
        <f t="shared" si="4"/>
        <v>21759.301759999998</v>
      </c>
      <c r="P23" s="129"/>
      <c r="Q23" s="129"/>
      <c r="R23" s="129"/>
      <c r="S23" s="129"/>
      <c r="T23" s="133"/>
      <c r="U23" s="125"/>
      <c r="V23" s="126"/>
      <c r="W23" s="126"/>
      <c r="X23" s="126"/>
      <c r="Y23" s="132"/>
      <c r="Z23" s="132"/>
    </row>
    <row r="24" spans="1:26" s="120" customFormat="1" ht="21" customHeight="1" x14ac:dyDescent="0.25">
      <c r="A24" s="1" t="str">
        <f>+'Pricing Turkey'!A6</f>
        <v>IT.1-3</v>
      </c>
      <c r="B24" s="75" t="str">
        <f>+'Pricing Turkey'!B6</f>
        <v>CABINE INOX 1100/1000 STANDARD</v>
      </c>
      <c r="C24" s="75" t="str">
        <f>+'Pricing Turkey'!C6</f>
        <v>CABINE &amp; ARCADE</v>
      </c>
      <c r="D24" s="75" t="str">
        <f>+'Pricing Turkey'!D6</f>
        <v>Pc</v>
      </c>
      <c r="E24" s="75">
        <f>+'Pricing Turkey'!E6</f>
        <v>350</v>
      </c>
      <c r="F24" s="75" t="str">
        <f>+'Pricing Turkey'!F6</f>
        <v>INOX</v>
      </c>
      <c r="G24" s="123">
        <f>'Pricing Turkey'!G6*G$7</f>
        <v>9996</v>
      </c>
      <c r="H24" s="123">
        <f t="shared" si="0"/>
        <v>2835</v>
      </c>
      <c r="I24" s="147">
        <f t="shared" si="5"/>
        <v>1056.5771999999999</v>
      </c>
      <c r="J24" s="123">
        <f t="shared" si="1"/>
        <v>1832.5960016000001</v>
      </c>
      <c r="K24" s="123">
        <f t="shared" si="2"/>
        <v>699.72</v>
      </c>
      <c r="L24" s="123">
        <f t="shared" si="3"/>
        <v>2499</v>
      </c>
      <c r="M24" s="132">
        <f t="shared" si="6"/>
        <v>16253.295200799999</v>
      </c>
      <c r="N24" s="132">
        <f t="shared" si="7"/>
        <v>16753.095200799999</v>
      </c>
      <c r="O24" s="132">
        <f t="shared" si="4"/>
        <v>18918.8932016</v>
      </c>
      <c r="P24" s="129"/>
      <c r="Q24" s="129"/>
      <c r="R24" s="129"/>
      <c r="S24" s="129"/>
      <c r="T24" s="133"/>
      <c r="U24" s="125"/>
      <c r="V24" s="126"/>
      <c r="W24" s="126"/>
      <c r="X24" s="126"/>
      <c r="Y24" s="132"/>
      <c r="Z24" s="132"/>
    </row>
    <row r="25" spans="1:26" s="120" customFormat="1" ht="21" customHeight="1" x14ac:dyDescent="0.25">
      <c r="A25" s="1" t="str">
        <f>+'Pricing Turkey'!A7</f>
        <v>IT.1-4</v>
      </c>
      <c r="B25" s="75" t="str">
        <f>+'Pricing Turkey'!B7</f>
        <v>CABINE INOX 1100/1000 PERSONALISÉE</v>
      </c>
      <c r="C25" s="75" t="str">
        <f>+'Pricing Turkey'!C7</f>
        <v>CABINE &amp; ARCADE</v>
      </c>
      <c r="D25" s="75" t="str">
        <f>+'Pricing Turkey'!D7</f>
        <v>Pc</v>
      </c>
      <c r="E25" s="75">
        <f>+'Pricing Turkey'!E7</f>
        <v>350</v>
      </c>
      <c r="F25" s="75" t="str">
        <f>+'Pricing Turkey'!F7</f>
        <v>INOX</v>
      </c>
      <c r="G25" s="123">
        <f>'Pricing Turkey'!G7*G$7</f>
        <v>12936.000000000002</v>
      </c>
      <c r="H25" s="123">
        <f t="shared" si="0"/>
        <v>2835</v>
      </c>
      <c r="I25" s="147">
        <f t="shared" si="5"/>
        <v>1367.3352</v>
      </c>
      <c r="J25" s="123">
        <f t="shared" si="1"/>
        <v>2375.3980096</v>
      </c>
      <c r="K25" s="123">
        <f t="shared" si="2"/>
        <v>905.52000000000021</v>
      </c>
      <c r="L25" s="123">
        <f t="shared" si="3"/>
        <v>3234.0000000000005</v>
      </c>
      <c r="M25" s="132">
        <f t="shared" si="6"/>
        <v>20201.754204800003</v>
      </c>
      <c r="N25" s="132">
        <f t="shared" si="7"/>
        <v>20848.554204800002</v>
      </c>
      <c r="O25" s="132">
        <f t="shared" si="4"/>
        <v>23653.2532096</v>
      </c>
      <c r="P25" s="129"/>
      <c r="Q25" s="129"/>
      <c r="R25" s="129"/>
      <c r="S25" s="129"/>
      <c r="T25" s="133"/>
      <c r="U25" s="125"/>
      <c r="V25" s="126"/>
      <c r="W25" s="126"/>
      <c r="X25" s="126"/>
      <c r="Y25" s="132"/>
      <c r="Z25" s="132"/>
    </row>
    <row r="26" spans="1:26" s="120" customFormat="1" ht="21" customHeight="1" x14ac:dyDescent="0.25">
      <c r="A26" s="1" t="str">
        <f>+'Pricing Turkey'!A8</f>
        <v>IT.1-5</v>
      </c>
      <c r="B26" s="75" t="str">
        <f>+'Pricing Turkey'!B8</f>
        <v>CABINE INOX 1200/1100 STANDARD</v>
      </c>
      <c r="C26" s="75" t="str">
        <f>+'Pricing Turkey'!C8</f>
        <v>CABINE &amp; ARCADE</v>
      </c>
      <c r="D26" s="75" t="str">
        <f>+'Pricing Turkey'!D8</f>
        <v>Pc</v>
      </c>
      <c r="E26" s="75">
        <f>+'Pricing Turkey'!E8</f>
        <v>350</v>
      </c>
      <c r="F26" s="75" t="str">
        <f>+'Pricing Turkey'!F8</f>
        <v>INOX</v>
      </c>
      <c r="G26" s="123">
        <f>'Pricing Turkey'!G8*G$7</f>
        <v>10682</v>
      </c>
      <c r="H26" s="123">
        <f t="shared" si="0"/>
        <v>2835</v>
      </c>
      <c r="I26" s="147">
        <f t="shared" si="5"/>
        <v>1129.0873999999999</v>
      </c>
      <c r="J26" s="123">
        <f t="shared" si="1"/>
        <v>1959.0951790666668</v>
      </c>
      <c r="K26" s="123">
        <f t="shared" si="2"/>
        <v>747.74000000000012</v>
      </c>
      <c r="L26" s="123">
        <f t="shared" si="3"/>
        <v>2670.5</v>
      </c>
      <c r="M26" s="132">
        <f t="shared" si="6"/>
        <v>17174.524989533333</v>
      </c>
      <c r="N26" s="132">
        <f t="shared" si="7"/>
        <v>17708.624989533331</v>
      </c>
      <c r="O26" s="132">
        <f t="shared" si="4"/>
        <v>20023.422579066668</v>
      </c>
      <c r="P26" s="129"/>
      <c r="Q26" s="129"/>
      <c r="R26" s="129"/>
      <c r="S26" s="129"/>
      <c r="T26" s="133"/>
      <c r="U26" s="125"/>
      <c r="V26" s="126"/>
      <c r="W26" s="126"/>
      <c r="X26" s="126"/>
      <c r="Y26" s="132"/>
      <c r="Z26" s="132"/>
    </row>
    <row r="27" spans="1:26" s="120" customFormat="1" ht="21" customHeight="1" x14ac:dyDescent="0.25">
      <c r="A27" s="1" t="str">
        <f>+'Pricing Turkey'!A9</f>
        <v>IT.1-6</v>
      </c>
      <c r="B27" s="75" t="str">
        <f>+'Pricing Turkey'!B9</f>
        <v>CABINE INOX 1200/1100 PERSONALISÉE</v>
      </c>
      <c r="C27" s="75" t="str">
        <f>+'Pricing Turkey'!C9</f>
        <v>CABINE &amp; ARCADE</v>
      </c>
      <c r="D27" s="75" t="str">
        <f>+'Pricing Turkey'!D9</f>
        <v>Pc</v>
      </c>
      <c r="E27" s="75">
        <f>+'Pricing Turkey'!E9</f>
        <v>350</v>
      </c>
      <c r="F27" s="75" t="str">
        <f>+'Pricing Turkey'!F9</f>
        <v>INOX</v>
      </c>
      <c r="G27" s="123">
        <f>'Pricing Turkey'!G9*G$7</f>
        <v>13622.000000000002</v>
      </c>
      <c r="H27" s="123">
        <f t="shared" si="0"/>
        <v>2835</v>
      </c>
      <c r="I27" s="147">
        <f t="shared" si="5"/>
        <v>1439.8453999999999</v>
      </c>
      <c r="J27" s="123">
        <f t="shared" si="1"/>
        <v>2502.3005550666671</v>
      </c>
      <c r="K27" s="123">
        <f t="shared" si="2"/>
        <v>953.54000000000019</v>
      </c>
      <c r="L27" s="123">
        <f t="shared" si="3"/>
        <v>3405.5000000000005</v>
      </c>
      <c r="M27" s="132">
        <f t="shared" si="6"/>
        <v>21123.185677533333</v>
      </c>
      <c r="N27" s="132">
        <f t="shared" si="7"/>
        <v>21804.285677533331</v>
      </c>
      <c r="O27" s="132">
        <f t="shared" si="4"/>
        <v>24758.18595506667</v>
      </c>
      <c r="P27" s="129"/>
      <c r="Q27" s="129"/>
      <c r="R27" s="129"/>
      <c r="S27" s="129"/>
      <c r="T27" s="133"/>
      <c r="U27" s="125"/>
      <c r="V27" s="126"/>
      <c r="W27" s="126"/>
      <c r="X27" s="126"/>
      <c r="Y27" s="132"/>
      <c r="Z27" s="132"/>
    </row>
    <row r="28" spans="1:26" s="120" customFormat="1" ht="21" customHeight="1" x14ac:dyDescent="0.25">
      <c r="A28" s="1" t="str">
        <f>+'Pricing Turkey'!A10</f>
        <v>IT.1-13</v>
      </c>
      <c r="B28" s="75" t="str">
        <f>+'Pricing Turkey'!B10</f>
        <v>CABINE INOX 1400/1300 STANDARD</v>
      </c>
      <c r="C28" s="75" t="str">
        <f>+'Pricing Turkey'!C10</f>
        <v>CABINE &amp; ARCADE</v>
      </c>
      <c r="D28" s="75" t="str">
        <f>+'Pricing Turkey'!D10</f>
        <v>SET</v>
      </c>
      <c r="E28" s="75">
        <f>+'Pricing Turkey'!E10</f>
        <v>350</v>
      </c>
      <c r="F28" s="75" t="str">
        <f>+'Pricing Turkey'!F10</f>
        <v>STEEL</v>
      </c>
      <c r="G28" s="123">
        <f>'Pricing Turkey'!G10*G$7</f>
        <v>13132.000000000002</v>
      </c>
      <c r="H28" s="123">
        <f t="shared" si="0"/>
        <v>2659.2300000000005</v>
      </c>
      <c r="I28" s="147">
        <f t="shared" si="5"/>
        <v>1388.0524</v>
      </c>
      <c r="J28" s="123">
        <f t="shared" si="1"/>
        <v>2411.6462757333338</v>
      </c>
      <c r="K28" s="123">
        <f t="shared" si="2"/>
        <v>919.24000000000024</v>
      </c>
      <c r="L28" s="123">
        <f t="shared" si="3"/>
        <v>3283.0000000000005</v>
      </c>
      <c r="M28" s="132">
        <f t="shared" si="6"/>
        <v>20289.245537866675</v>
      </c>
      <c r="N28" s="132">
        <f t="shared" si="7"/>
        <v>20945.845537866673</v>
      </c>
      <c r="O28" s="132">
        <f t="shared" si="4"/>
        <v>23793.168675733337</v>
      </c>
      <c r="P28" s="129"/>
      <c r="Q28" s="129"/>
      <c r="R28" s="129"/>
      <c r="S28" s="129"/>
      <c r="T28" s="133"/>
      <c r="U28" s="125"/>
      <c r="V28" s="126"/>
      <c r="W28" s="126"/>
      <c r="X28" s="126"/>
      <c r="Y28" s="132"/>
      <c r="Z28" s="132"/>
    </row>
    <row r="29" spans="1:26" s="120" customFormat="1" ht="21" customHeight="1" x14ac:dyDescent="0.25">
      <c r="A29" s="1" t="str">
        <f>+'Pricing Turkey'!A11</f>
        <v>IT.1-14</v>
      </c>
      <c r="B29" s="75" t="str">
        <f>+'Pricing Turkey'!B11</f>
        <v>CABINE INOX 1400/1300 PERSONALISÉE</v>
      </c>
      <c r="C29" s="75" t="str">
        <f>+'Pricing Turkey'!C11</f>
        <v>CABINE &amp; ARCADE</v>
      </c>
      <c r="D29" s="75" t="str">
        <f>+'Pricing Turkey'!D11</f>
        <v>SET</v>
      </c>
      <c r="E29" s="75">
        <f>+'Pricing Turkey'!E11</f>
        <v>350</v>
      </c>
      <c r="F29" s="75" t="str">
        <f>+'Pricing Turkey'!F11</f>
        <v>STEEL</v>
      </c>
      <c r="G29" s="123">
        <f>'Pricing Turkey'!G11*G$7</f>
        <v>17052</v>
      </c>
      <c r="H29" s="123">
        <f t="shared" si="0"/>
        <v>3453.03</v>
      </c>
      <c r="I29" s="147">
        <f t="shared" si="5"/>
        <v>1802.3963999999999</v>
      </c>
      <c r="J29" s="123">
        <f t="shared" si="1"/>
        <v>3138.2250704000003</v>
      </c>
      <c r="K29" s="123">
        <f t="shared" si="2"/>
        <v>1193.6400000000001</v>
      </c>
      <c r="L29" s="123">
        <f t="shared" si="3"/>
        <v>4263</v>
      </c>
      <c r="M29" s="132">
        <f t="shared" si="6"/>
        <v>26349.078935200003</v>
      </c>
      <c r="N29" s="132">
        <f t="shared" si="7"/>
        <v>27201.678935200001</v>
      </c>
      <c r="O29" s="132">
        <f t="shared" si="4"/>
        <v>30902.2914704</v>
      </c>
      <c r="P29" s="129"/>
      <c r="Q29" s="129"/>
      <c r="R29" s="129"/>
      <c r="S29" s="129"/>
      <c r="T29" s="133"/>
      <c r="U29" s="125"/>
      <c r="V29" s="126"/>
      <c r="W29" s="126"/>
      <c r="X29" s="126"/>
      <c r="Y29" s="132"/>
      <c r="Z29" s="132"/>
    </row>
    <row r="30" spans="1:26" s="120" customFormat="1" ht="21" customHeight="1" x14ac:dyDescent="0.25">
      <c r="A30" s="1" t="str">
        <f>+'Pricing Turkey'!A12</f>
        <v>IT.1-17</v>
      </c>
      <c r="B30" s="75" t="str">
        <f>+'Pricing Turkey'!B12</f>
        <v>CABINE  1000/900 PANORAMIQUE</v>
      </c>
      <c r="C30" s="75" t="str">
        <f>+'Pricing Turkey'!C12</f>
        <v>CABINE &amp; ARCADE</v>
      </c>
      <c r="D30" s="75" t="str">
        <f>+'Pricing Turkey'!D12</f>
        <v>Pc</v>
      </c>
      <c r="E30" s="75">
        <f>+'Pricing Turkey'!E12</f>
        <v>350</v>
      </c>
      <c r="F30" s="75" t="str">
        <f>+'Pricing Turkey'!F12</f>
        <v>INOX</v>
      </c>
      <c r="G30" s="123">
        <f>'Pricing Turkey'!G12*G$7</f>
        <v>15680.000000000002</v>
      </c>
      <c r="H30" s="123">
        <f t="shared" si="0"/>
        <v>3175.2000000000007</v>
      </c>
      <c r="I30" s="147">
        <f t="shared" si="5"/>
        <v>1657.376</v>
      </c>
      <c r="J30" s="123">
        <f t="shared" si="1"/>
        <v>2883.5729066666672</v>
      </c>
      <c r="K30" s="123">
        <f t="shared" si="2"/>
        <v>1097.6000000000001</v>
      </c>
      <c r="L30" s="123">
        <f t="shared" si="3"/>
        <v>3920.0000000000005</v>
      </c>
      <c r="M30" s="132">
        <f t="shared" si="6"/>
        <v>24227.962453333337</v>
      </c>
      <c r="N30" s="132">
        <f t="shared" si="7"/>
        <v>25011.962453333337</v>
      </c>
      <c r="O30" s="132">
        <f t="shared" si="4"/>
        <v>28413.748906666668</v>
      </c>
      <c r="P30" s="129"/>
      <c r="Q30" s="129"/>
      <c r="R30" s="129"/>
      <c r="S30" s="129"/>
      <c r="T30" s="133"/>
      <c r="U30" s="125"/>
      <c r="V30" s="126"/>
      <c r="W30" s="126"/>
      <c r="X30" s="126"/>
      <c r="Y30" s="132"/>
      <c r="Z30" s="132"/>
    </row>
    <row r="31" spans="1:26" s="120" customFormat="1" ht="21" customHeight="1" x14ac:dyDescent="0.25">
      <c r="A31" s="1" t="str">
        <f>+'Pricing Turkey'!A13</f>
        <v>IT.1-18</v>
      </c>
      <c r="B31" s="75" t="str">
        <f>+'Pricing Turkey'!B13</f>
        <v>CABINE  1100/1000 PANORAMIQUE</v>
      </c>
      <c r="C31" s="75" t="str">
        <f>+'Pricing Turkey'!C13</f>
        <v>CABINE &amp; ARCADE</v>
      </c>
      <c r="D31" s="75" t="str">
        <f>+'Pricing Turkey'!D13</f>
        <v>Pc</v>
      </c>
      <c r="E31" s="75">
        <f>+'Pricing Turkey'!E13</f>
        <v>350</v>
      </c>
      <c r="F31" s="75" t="str">
        <f>+'Pricing Turkey'!F13</f>
        <v>INOX</v>
      </c>
      <c r="G31" s="123">
        <f>'Pricing Turkey'!G13*G$7</f>
        <v>16660</v>
      </c>
      <c r="H31" s="123">
        <f t="shared" si="0"/>
        <v>3373.65</v>
      </c>
      <c r="I31" s="147">
        <f t="shared" si="5"/>
        <v>1760.9619999999998</v>
      </c>
      <c r="J31" s="123">
        <f t="shared" si="1"/>
        <v>3065.4288933333337</v>
      </c>
      <c r="K31" s="123">
        <f t="shared" si="2"/>
        <v>1166.2</v>
      </c>
      <c r="L31" s="123">
        <f t="shared" si="3"/>
        <v>4165</v>
      </c>
      <c r="M31" s="132">
        <f t="shared" si="6"/>
        <v>25743.026446666667</v>
      </c>
      <c r="N31" s="132">
        <f t="shared" si="7"/>
        <v>26576.026446666667</v>
      </c>
      <c r="O31" s="132">
        <f t="shared" si="4"/>
        <v>30191.240893333335</v>
      </c>
      <c r="P31" s="129"/>
      <c r="Q31" s="129"/>
      <c r="R31" s="129"/>
      <c r="S31" s="129"/>
      <c r="T31" s="133"/>
      <c r="U31" s="125"/>
      <c r="V31" s="126"/>
      <c r="W31" s="126"/>
      <c r="X31" s="126"/>
      <c r="Y31" s="132"/>
      <c r="Z31" s="132"/>
    </row>
    <row r="32" spans="1:26" s="120" customFormat="1" ht="21" customHeight="1" x14ac:dyDescent="0.25">
      <c r="A32" s="1" t="str">
        <f>+'Pricing Turkey'!A14</f>
        <v>IT.1-19</v>
      </c>
      <c r="B32" s="75" t="str">
        <f>+'Pricing Turkey'!B14</f>
        <v>CABINE  1200/1100 PANORAMIQUE</v>
      </c>
      <c r="C32" s="75" t="str">
        <f>+'Pricing Turkey'!C14</f>
        <v>CABINE &amp; ARCADE</v>
      </c>
      <c r="D32" s="75" t="str">
        <f>+'Pricing Turkey'!D14</f>
        <v>Pc</v>
      </c>
      <c r="E32" s="75">
        <f>+'Pricing Turkey'!E14</f>
        <v>350</v>
      </c>
      <c r="F32" s="75" t="str">
        <f>+'Pricing Turkey'!F14</f>
        <v>INOX</v>
      </c>
      <c r="G32" s="123">
        <f>'Pricing Turkey'!G14*G$7</f>
        <v>18130</v>
      </c>
      <c r="H32" s="123">
        <f t="shared" si="0"/>
        <v>3671.3250000000003</v>
      </c>
      <c r="I32" s="147">
        <f t="shared" si="5"/>
        <v>1916.3409999999999</v>
      </c>
      <c r="J32" s="123">
        <f t="shared" si="1"/>
        <v>3338.5730233333334</v>
      </c>
      <c r="K32" s="123">
        <f t="shared" si="2"/>
        <v>1269.1000000000001</v>
      </c>
      <c r="L32" s="123">
        <f t="shared" si="3"/>
        <v>4532.5</v>
      </c>
      <c r="M32" s="132">
        <f t="shared" si="6"/>
        <v>28015.802511666665</v>
      </c>
      <c r="N32" s="132">
        <f t="shared" si="7"/>
        <v>28922.302511666665</v>
      </c>
      <c r="O32" s="132">
        <f t="shared" si="4"/>
        <v>32857.839023333334</v>
      </c>
      <c r="P32" s="129"/>
      <c r="Q32" s="129"/>
      <c r="R32" s="129"/>
      <c r="S32" s="129"/>
      <c r="T32" s="133"/>
      <c r="U32" s="125"/>
      <c r="V32" s="126"/>
      <c r="W32" s="126"/>
      <c r="X32" s="126"/>
      <c r="Y32" s="132"/>
      <c r="Z32" s="132"/>
    </row>
    <row r="33" spans="1:26" s="120" customFormat="1" ht="21" customHeight="1" x14ac:dyDescent="0.25">
      <c r="A33" s="1" t="str">
        <f>+'Pricing Turkey'!A15</f>
        <v>IT.1-20</v>
      </c>
      <c r="B33" s="75" t="str">
        <f>+'Pricing Turkey'!B15</f>
        <v>CABINE INOX 1300/1200 STANDARD</v>
      </c>
      <c r="C33" s="75" t="str">
        <f>+'Pricing Turkey'!C15</f>
        <v>CABINE &amp; ARCADE</v>
      </c>
      <c r="D33" s="75" t="str">
        <f>+'Pricing Turkey'!D15</f>
        <v>Pc</v>
      </c>
      <c r="E33" s="75">
        <f>+'Pricing Turkey'!E15</f>
        <v>350</v>
      </c>
      <c r="F33" s="75" t="str">
        <f>+'Pricing Turkey'!F15</f>
        <v>INOX</v>
      </c>
      <c r="G33" s="123">
        <f>'Pricing Turkey'!G15*G$7</f>
        <v>11368</v>
      </c>
      <c r="H33" s="123">
        <f t="shared" si="0"/>
        <v>2835</v>
      </c>
      <c r="I33" s="147">
        <f t="shared" si="5"/>
        <v>1201.5975999999998</v>
      </c>
      <c r="J33" s="123">
        <f t="shared" si="1"/>
        <v>2085.6884757333332</v>
      </c>
      <c r="K33" s="123">
        <f t="shared" si="2"/>
        <v>795.7600000000001</v>
      </c>
      <c r="L33" s="123">
        <f t="shared" si="3"/>
        <v>2842</v>
      </c>
      <c r="M33" s="132">
        <f t="shared" si="6"/>
        <v>18095.801837866664</v>
      </c>
      <c r="N33" s="132">
        <f t="shared" si="7"/>
        <v>18664.201837866665</v>
      </c>
      <c r="O33" s="132">
        <f t="shared" si="4"/>
        <v>21128.046075733335</v>
      </c>
      <c r="P33" s="129"/>
      <c r="Q33" s="129"/>
      <c r="R33" s="129"/>
      <c r="S33" s="129"/>
      <c r="T33" s="133"/>
      <c r="U33" s="125"/>
      <c r="V33" s="126"/>
      <c r="W33" s="126"/>
      <c r="X33" s="126"/>
      <c r="Y33" s="132"/>
      <c r="Z33" s="132"/>
    </row>
    <row r="34" spans="1:26" s="120" customFormat="1" ht="21" customHeight="1" x14ac:dyDescent="0.25">
      <c r="A34" s="1" t="str">
        <f>+'Pricing Turkey'!A16</f>
        <v>IT.1-21</v>
      </c>
      <c r="B34" s="75" t="str">
        <f>+'Pricing Turkey'!B16</f>
        <v>CABINE INOX 1300/1200 PERSONALISÉE</v>
      </c>
      <c r="C34" s="75" t="str">
        <f>+'Pricing Turkey'!C16</f>
        <v>CABINE &amp; ARCADE</v>
      </c>
      <c r="D34" s="75" t="str">
        <f>+'Pricing Turkey'!D16</f>
        <v>Pc</v>
      </c>
      <c r="E34" s="75">
        <f>+'Pricing Turkey'!E16</f>
        <v>350</v>
      </c>
      <c r="F34" s="75" t="str">
        <f>+'Pricing Turkey'!F16</f>
        <v>INOX</v>
      </c>
      <c r="G34" s="123">
        <f>'Pricing Turkey'!G16*G$7</f>
        <v>14308.000000000002</v>
      </c>
      <c r="H34" s="123">
        <f t="shared" si="0"/>
        <v>2897.3700000000003</v>
      </c>
      <c r="I34" s="147">
        <f t="shared" si="5"/>
        <v>1512.3556000000001</v>
      </c>
      <c r="J34" s="123">
        <f t="shared" si="1"/>
        <v>2629.2972197333338</v>
      </c>
      <c r="K34" s="123">
        <f t="shared" si="2"/>
        <v>1001.5600000000002</v>
      </c>
      <c r="L34" s="123">
        <f t="shared" si="3"/>
        <v>3577.0000000000005</v>
      </c>
      <c r="M34" s="132">
        <f t="shared" si="6"/>
        <v>22107.03420986667</v>
      </c>
      <c r="N34" s="132">
        <f t="shared" si="7"/>
        <v>22822.434209866671</v>
      </c>
      <c r="O34" s="132">
        <f t="shared" si="4"/>
        <v>25925.582819733339</v>
      </c>
      <c r="P34" s="129"/>
      <c r="Q34" s="129"/>
      <c r="R34" s="129"/>
      <c r="S34" s="129"/>
      <c r="T34" s="133"/>
      <c r="U34" s="125"/>
      <c r="V34" s="126"/>
      <c r="W34" s="126"/>
      <c r="X34" s="126"/>
      <c r="Y34" s="132"/>
      <c r="Z34" s="132"/>
    </row>
    <row r="35" spans="1:26" s="120" customFormat="1" ht="21" customHeight="1" x14ac:dyDescent="0.25">
      <c r="A35" s="1" t="str">
        <f>+'Pricing Turkey'!A17</f>
        <v>IT.1-22</v>
      </c>
      <c r="B35" s="75" t="str">
        <f>+'Pricing Turkey'!B17</f>
        <v>CABINE  1300/1200 PANORAMIQUE</v>
      </c>
      <c r="C35" s="75" t="str">
        <f>+'Pricing Turkey'!C17</f>
        <v>CABINE &amp; ARCADE</v>
      </c>
      <c r="D35" s="75" t="str">
        <f>+'Pricing Turkey'!D17</f>
        <v>Pc</v>
      </c>
      <c r="E35" s="75">
        <f>+'Pricing Turkey'!E17</f>
        <v>350</v>
      </c>
      <c r="F35" s="75" t="str">
        <f>+'Pricing Turkey'!F17</f>
        <v>INOX</v>
      </c>
      <c r="G35" s="123">
        <f>'Pricing Turkey'!G17*G$7</f>
        <v>20090</v>
      </c>
      <c r="H35" s="123">
        <f t="shared" si="0"/>
        <v>4068.2250000000004</v>
      </c>
      <c r="I35" s="147">
        <f t="shared" si="5"/>
        <v>2123.5129999999999</v>
      </c>
      <c r="J35" s="123">
        <f t="shared" si="1"/>
        <v>3703.4374766666665</v>
      </c>
      <c r="K35" s="123">
        <f t="shared" si="2"/>
        <v>1406.3000000000002</v>
      </c>
      <c r="L35" s="123">
        <f t="shared" si="3"/>
        <v>5022.5</v>
      </c>
      <c r="M35" s="132">
        <f t="shared" si="6"/>
        <v>31046.50673833333</v>
      </c>
      <c r="N35" s="132">
        <f t="shared" si="7"/>
        <v>32051.00673833333</v>
      </c>
      <c r="O35" s="132">
        <f t="shared" si="4"/>
        <v>36413.975476666667</v>
      </c>
      <c r="P35" s="129"/>
      <c r="Q35" s="129"/>
      <c r="R35" s="129"/>
      <c r="S35" s="129"/>
      <c r="T35" s="133"/>
      <c r="U35" s="125"/>
      <c r="V35" s="126"/>
      <c r="W35" s="126"/>
      <c r="X35" s="126"/>
      <c r="Y35" s="132"/>
      <c r="Z35" s="132"/>
    </row>
    <row r="36" spans="1:26" s="120" customFormat="1" ht="21" customHeight="1" x14ac:dyDescent="0.25">
      <c r="A36" s="1" t="str">
        <f>+'Pricing Turkey'!A18</f>
        <v>IT.1-23</v>
      </c>
      <c r="B36" s="75" t="str">
        <f>+'Pricing Turkey'!B18</f>
        <v>CABINE  1400/1300 PANORAMIQUE</v>
      </c>
      <c r="C36" s="75" t="str">
        <f>+'Pricing Turkey'!C18</f>
        <v>CABINE &amp; ARCADE</v>
      </c>
      <c r="D36" s="75" t="str">
        <f>+'Pricing Turkey'!D18</f>
        <v>Pc</v>
      </c>
      <c r="E36" s="75">
        <f>+'Pricing Turkey'!E18</f>
        <v>350</v>
      </c>
      <c r="F36" s="75" t="str">
        <f>+'Pricing Turkey'!F18</f>
        <v>INOX</v>
      </c>
      <c r="G36" s="123">
        <f>'Pricing Turkey'!G18*G$7</f>
        <v>22540</v>
      </c>
      <c r="H36" s="123">
        <f t="shared" si="0"/>
        <v>4564.3500000000004</v>
      </c>
      <c r="I36" s="147">
        <f t="shared" si="5"/>
        <v>2382.4779999999996</v>
      </c>
      <c r="J36" s="123">
        <f t="shared" si="1"/>
        <v>4160.598493333333</v>
      </c>
      <c r="K36" s="123">
        <f t="shared" si="2"/>
        <v>1577.8000000000002</v>
      </c>
      <c r="L36" s="123">
        <f t="shared" si="3"/>
        <v>5635</v>
      </c>
      <c r="M36" s="132">
        <f t="shared" si="6"/>
        <v>34835.427246666666</v>
      </c>
      <c r="N36" s="132">
        <f t="shared" si="7"/>
        <v>35962.427246666666</v>
      </c>
      <c r="O36" s="132">
        <f t="shared" si="4"/>
        <v>40860.226493333335</v>
      </c>
      <c r="P36" s="129"/>
      <c r="Q36" s="129"/>
      <c r="R36" s="129"/>
      <c r="S36" s="129"/>
      <c r="T36" s="133"/>
      <c r="U36" s="125"/>
      <c r="V36" s="126"/>
      <c r="W36" s="126"/>
      <c r="X36" s="126"/>
      <c r="Y36" s="132"/>
      <c r="Z36" s="132"/>
    </row>
    <row r="37" spans="1:26" s="120" customFormat="1" ht="21" customHeight="1" x14ac:dyDescent="0.25">
      <c r="A37" s="1" t="str">
        <f>+'Pricing Turkey'!A19</f>
        <v>IT.1-7</v>
      </c>
      <c r="B37" s="75" t="str">
        <f>+'Pricing Turkey'!B19</f>
        <v>ARCADE CABINE 1000/900 + ARCADE CONTRE-POIDS + TIRANDS + COULISSEAUX GEARBOX</v>
      </c>
      <c r="C37" s="75" t="str">
        <f>+'Pricing Turkey'!C19</f>
        <v>CABINE &amp; ARCADE</v>
      </c>
      <c r="D37" s="75" t="str">
        <f>+'Pricing Turkey'!D19</f>
        <v>SET</v>
      </c>
      <c r="E37" s="75">
        <f>+'Pricing Turkey'!E19</f>
        <v>200</v>
      </c>
      <c r="F37" s="75" t="str">
        <f>+'Pricing Turkey'!F19</f>
        <v>STEEL</v>
      </c>
      <c r="G37" s="123">
        <f>'Pricing Turkey'!G19*G$7</f>
        <v>4410</v>
      </c>
      <c r="H37" s="123">
        <f t="shared" si="0"/>
        <v>893.02500000000009</v>
      </c>
      <c r="I37" s="147">
        <f t="shared" si="5"/>
        <v>466.13699999999994</v>
      </c>
      <c r="J37" s="123">
        <f t="shared" si="1"/>
        <v>806.03480999999999</v>
      </c>
      <c r="K37" s="123">
        <f t="shared" si="2"/>
        <v>308.70000000000005</v>
      </c>
      <c r="L37" s="123">
        <f t="shared" si="3"/>
        <v>1102.5</v>
      </c>
      <c r="M37" s="132">
        <f t="shared" si="6"/>
        <v>6811.6294049999988</v>
      </c>
      <c r="N37" s="132">
        <f t="shared" ref="N37:N52" si="8">+G37+H37+I37+J37*50%+K37+L37*70%</f>
        <v>7252.6294049999988</v>
      </c>
      <c r="O37" s="132">
        <f t="shared" si="4"/>
        <v>7986.3968100000002</v>
      </c>
      <c r="P37" s="129"/>
      <c r="Q37" s="129"/>
      <c r="R37" s="129"/>
      <c r="S37" s="129"/>
      <c r="T37" s="133"/>
      <c r="U37" s="125"/>
      <c r="V37" s="126"/>
      <c r="W37" s="126"/>
      <c r="X37" s="126"/>
      <c r="Y37" s="132"/>
      <c r="Z37" s="132"/>
    </row>
    <row r="38" spans="1:26" s="120" customFormat="1" ht="21" customHeight="1" x14ac:dyDescent="0.25">
      <c r="A38" s="1" t="str">
        <f>+'Pricing Turkey'!A20</f>
        <v>IT.1-8</v>
      </c>
      <c r="B38" s="75" t="str">
        <f>+'Pricing Turkey'!B20</f>
        <v>ARCADE CABINE 1000/900 + ARCADE CONTRE-POIDS + TIRANDS + COULISSEAUX GEARLESS</v>
      </c>
      <c r="C38" s="75" t="str">
        <f>+'Pricing Turkey'!C20</f>
        <v>CABINE &amp; ARCADE</v>
      </c>
      <c r="D38" s="75" t="str">
        <f>+'Pricing Turkey'!D20</f>
        <v>SET</v>
      </c>
      <c r="E38" s="75">
        <f>+'Pricing Turkey'!E20</f>
        <v>200</v>
      </c>
      <c r="F38" s="75" t="str">
        <f>+'Pricing Turkey'!F20</f>
        <v>STEEL</v>
      </c>
      <c r="G38" s="123">
        <f>'Pricing Turkey'!G20*G$7</f>
        <v>6860.0000000000009</v>
      </c>
      <c r="H38" s="123">
        <f t="shared" si="0"/>
        <v>1389.1500000000003</v>
      </c>
      <c r="I38" s="147">
        <f t="shared" si="5"/>
        <v>725.10199999999998</v>
      </c>
      <c r="J38" s="123">
        <f t="shared" si="1"/>
        <v>1255.5126266666668</v>
      </c>
      <c r="K38" s="123">
        <f t="shared" si="2"/>
        <v>480.2000000000001</v>
      </c>
      <c r="L38" s="123">
        <f t="shared" si="3"/>
        <v>1715.0000000000002</v>
      </c>
      <c r="M38" s="132">
        <f t="shared" si="6"/>
        <v>10596.708313333336</v>
      </c>
      <c r="N38" s="132">
        <f t="shared" si="8"/>
        <v>11282.708313333336</v>
      </c>
      <c r="O38" s="132">
        <f t="shared" si="4"/>
        <v>12424.964626666668</v>
      </c>
      <c r="P38" s="129"/>
      <c r="T38" s="133"/>
      <c r="U38" s="125"/>
      <c r="V38" s="126"/>
      <c r="W38" s="126"/>
      <c r="X38" s="126"/>
      <c r="Y38" s="132"/>
      <c r="Z38" s="132"/>
    </row>
    <row r="39" spans="1:26" s="120" customFormat="1" ht="21" customHeight="1" x14ac:dyDescent="0.25">
      <c r="A39" s="1" t="str">
        <f>+'Pricing Turkey'!A21</f>
        <v>IT.1-9</v>
      </c>
      <c r="B39" s="75" t="str">
        <f>+'Pricing Turkey'!B21</f>
        <v>ARCADE CABINE 1100/1000 + ARCADE CONTRE-POIDS + TIRANDS + COULISSEAUX GEARBOX</v>
      </c>
      <c r="C39" s="75" t="str">
        <f>+'Pricing Turkey'!C21</f>
        <v>CABINE &amp; ARCADE</v>
      </c>
      <c r="D39" s="75" t="str">
        <f>+'Pricing Turkey'!D21</f>
        <v>SET</v>
      </c>
      <c r="E39" s="75">
        <f>+'Pricing Turkey'!E21</f>
        <v>200</v>
      </c>
      <c r="F39" s="75" t="str">
        <f>+'Pricing Turkey'!F21</f>
        <v>STEEL</v>
      </c>
      <c r="G39" s="123">
        <f>'Pricing Turkey'!G21*G$7</f>
        <v>4606</v>
      </c>
      <c r="H39" s="123">
        <f t="shared" si="0"/>
        <v>932.71500000000003</v>
      </c>
      <c r="I39" s="147">
        <f t="shared" si="5"/>
        <v>486.85419999999993</v>
      </c>
      <c r="J39" s="123">
        <f t="shared" si="1"/>
        <v>841.94885693333333</v>
      </c>
      <c r="K39" s="123">
        <f t="shared" si="2"/>
        <v>322.42</v>
      </c>
      <c r="L39" s="123">
        <f t="shared" si="3"/>
        <v>1151.5</v>
      </c>
      <c r="M39" s="132">
        <f t="shared" si="6"/>
        <v>7114.4136284666665</v>
      </c>
      <c r="N39" s="132">
        <f t="shared" si="8"/>
        <v>7575.0136284666669</v>
      </c>
      <c r="O39" s="132">
        <f t="shared" si="4"/>
        <v>8341.4380569333334</v>
      </c>
      <c r="P39" s="129"/>
      <c r="Q39" s="129"/>
      <c r="R39" s="129"/>
      <c r="S39" s="129"/>
      <c r="T39" s="133"/>
      <c r="U39" s="125"/>
      <c r="V39" s="126"/>
      <c r="W39" s="126"/>
      <c r="X39" s="126"/>
      <c r="Y39" s="132"/>
      <c r="Z39" s="132"/>
    </row>
    <row r="40" spans="1:26" s="120" customFormat="1" ht="21" customHeight="1" x14ac:dyDescent="0.25">
      <c r="A40" s="1" t="str">
        <f>+'Pricing Turkey'!A22</f>
        <v>IT.1-10</v>
      </c>
      <c r="B40" s="75" t="str">
        <f>+'Pricing Turkey'!B22</f>
        <v>ARCADE CABINE 1100/1000 + ARCADE CONTRE-POIDS + TIRANDS + COULISSEAUX GEARLESS</v>
      </c>
      <c r="C40" s="75" t="str">
        <f>+'Pricing Turkey'!C22</f>
        <v>CABINE &amp; ARCADE</v>
      </c>
      <c r="D40" s="75" t="str">
        <f>+'Pricing Turkey'!D22</f>
        <v>SET</v>
      </c>
      <c r="E40" s="75">
        <f>+'Pricing Turkey'!E22</f>
        <v>200</v>
      </c>
      <c r="F40" s="75" t="str">
        <f>+'Pricing Turkey'!F22</f>
        <v>STEEL</v>
      </c>
      <c r="G40" s="123">
        <f>'Pricing Turkey'!G22*G$7</f>
        <v>7056.0000000000009</v>
      </c>
      <c r="H40" s="123">
        <f t="shared" si="0"/>
        <v>1428.8400000000004</v>
      </c>
      <c r="I40" s="147">
        <f t="shared" si="5"/>
        <v>745.81920000000002</v>
      </c>
      <c r="J40" s="123">
        <f t="shared" si="1"/>
        <v>1291.5227136000003</v>
      </c>
      <c r="K40" s="123">
        <f t="shared" si="2"/>
        <v>493.92000000000013</v>
      </c>
      <c r="L40" s="123">
        <f t="shared" si="3"/>
        <v>1764.0000000000002</v>
      </c>
      <c r="M40" s="132">
        <f t="shared" si="6"/>
        <v>10899.540556800002</v>
      </c>
      <c r="N40" s="132">
        <f t="shared" si="8"/>
        <v>11605.140556800001</v>
      </c>
      <c r="O40" s="132">
        <f t="shared" si="4"/>
        <v>12780.101913600003</v>
      </c>
      <c r="P40" s="129"/>
      <c r="Q40" s="129"/>
      <c r="R40" s="129"/>
      <c r="S40" s="129"/>
      <c r="T40" s="133"/>
      <c r="U40" s="125"/>
      <c r="V40" s="126"/>
      <c r="W40" s="126"/>
      <c r="X40" s="126"/>
      <c r="Y40" s="132"/>
      <c r="Z40" s="132"/>
    </row>
    <row r="41" spans="1:26" s="120" customFormat="1" ht="21" customHeight="1" x14ac:dyDescent="0.25">
      <c r="A41" s="1" t="str">
        <f>+'Pricing Turkey'!A23</f>
        <v>IT.1-11</v>
      </c>
      <c r="B41" s="75" t="str">
        <f>+'Pricing Turkey'!B23</f>
        <v>ARCADE CABINE 1200/1100 + ARCADE CONTRE-POIDS + TIRANDS + COULISSEAUX GEARBOX</v>
      </c>
      <c r="C41" s="75" t="str">
        <f>+'Pricing Turkey'!C23</f>
        <v>CABINE &amp; ARCADE</v>
      </c>
      <c r="D41" s="75" t="str">
        <f>+'Pricing Turkey'!D23</f>
        <v>SET</v>
      </c>
      <c r="E41" s="75">
        <f>+'Pricing Turkey'!E23</f>
        <v>200</v>
      </c>
      <c r="F41" s="75" t="str">
        <f>+'Pricing Turkey'!F23</f>
        <v>STEEL</v>
      </c>
      <c r="G41" s="123">
        <f>'Pricing Turkey'!G23*G$7</f>
        <v>4802</v>
      </c>
      <c r="H41" s="123">
        <f t="shared" si="0"/>
        <v>972.40500000000009</v>
      </c>
      <c r="I41" s="147">
        <f t="shared" si="5"/>
        <v>507.57139999999993</v>
      </c>
      <c r="J41" s="123">
        <f t="shared" si="1"/>
        <v>877.87058706666664</v>
      </c>
      <c r="K41" s="123">
        <f t="shared" si="2"/>
        <v>336.14000000000004</v>
      </c>
      <c r="L41" s="123">
        <f t="shared" si="3"/>
        <v>1200.5</v>
      </c>
      <c r="M41" s="132">
        <f t="shared" si="6"/>
        <v>7417.2016935333331</v>
      </c>
      <c r="N41" s="132">
        <f t="shared" si="8"/>
        <v>7897.4016935333329</v>
      </c>
      <c r="O41" s="132">
        <f t="shared" si="4"/>
        <v>8696.4869870666662</v>
      </c>
      <c r="P41" s="129"/>
      <c r="Q41" s="129"/>
      <c r="R41" s="129"/>
      <c r="S41" s="129"/>
      <c r="T41" s="133"/>
      <c r="U41" s="125"/>
      <c r="V41" s="126"/>
      <c r="W41" s="126"/>
      <c r="X41" s="126"/>
      <c r="Y41" s="132"/>
      <c r="Z41" s="132"/>
    </row>
    <row r="42" spans="1:26" s="120" customFormat="1" ht="21" customHeight="1" x14ac:dyDescent="0.25">
      <c r="A42" s="1" t="str">
        <f>+'Pricing Turkey'!A24</f>
        <v>IT.1-12</v>
      </c>
      <c r="B42" s="75" t="str">
        <f>+'Pricing Turkey'!B24</f>
        <v>ARCADE CABINE 1200/1100 + ARCADE CONTRE-POIDS + TIRANDS + COULISSEAUX GEARLESS</v>
      </c>
      <c r="C42" s="75" t="str">
        <f>+'Pricing Turkey'!C24</f>
        <v>CABINE &amp; ARCADE</v>
      </c>
      <c r="D42" s="75" t="str">
        <f>+'Pricing Turkey'!D24</f>
        <v>SET</v>
      </c>
      <c r="E42" s="75">
        <f>+'Pricing Turkey'!E24</f>
        <v>200</v>
      </c>
      <c r="F42" s="75" t="str">
        <f>+'Pricing Turkey'!F24</f>
        <v>STEEL</v>
      </c>
      <c r="G42" s="123">
        <f>'Pricing Turkey'!G24*G$7</f>
        <v>7252.0000000000009</v>
      </c>
      <c r="H42" s="123">
        <f t="shared" si="0"/>
        <v>1468.5300000000002</v>
      </c>
      <c r="I42" s="147">
        <f t="shared" si="5"/>
        <v>766.53639999999996</v>
      </c>
      <c r="J42" s="123">
        <f t="shared" si="1"/>
        <v>1327.5404837333335</v>
      </c>
      <c r="K42" s="123">
        <f t="shared" si="2"/>
        <v>507.6400000000001</v>
      </c>
      <c r="L42" s="123">
        <f t="shared" si="3"/>
        <v>1813.0000000000002</v>
      </c>
      <c r="M42" s="132">
        <f t="shared" si="6"/>
        <v>11202.376641866666</v>
      </c>
      <c r="N42" s="132">
        <f t="shared" si="8"/>
        <v>11927.576641866666</v>
      </c>
      <c r="O42" s="132">
        <f t="shared" si="4"/>
        <v>13135.246883733334</v>
      </c>
      <c r="P42" s="129"/>
      <c r="Q42" s="129"/>
      <c r="R42" s="129"/>
      <c r="S42" s="129"/>
      <c r="T42" s="133"/>
      <c r="U42" s="125"/>
      <c r="V42" s="126"/>
      <c r="W42" s="126"/>
      <c r="X42" s="126"/>
      <c r="Y42" s="132"/>
      <c r="Z42" s="132"/>
    </row>
    <row r="43" spans="1:26" s="120" customFormat="1" ht="21" customHeight="1" x14ac:dyDescent="0.25">
      <c r="A43" s="1" t="str">
        <f>+'Pricing Turkey'!A25</f>
        <v>IT.1-15</v>
      </c>
      <c r="B43" s="75" t="str">
        <f>+'Pricing Turkey'!B25</f>
        <v>ARCADE CABINE 1400/1300 + ARCADE CONTRE-POIDS + TIRANDS + COULISSEAUX GEARBOX</v>
      </c>
      <c r="C43" s="75" t="str">
        <f>+'Pricing Turkey'!C25</f>
        <v>CABINE &amp; ARCADE</v>
      </c>
      <c r="D43" s="75" t="str">
        <f>+'Pricing Turkey'!D25</f>
        <v>SET</v>
      </c>
      <c r="E43" s="75">
        <f>+'Pricing Turkey'!E25</f>
        <v>201</v>
      </c>
      <c r="F43" s="75" t="str">
        <f>+'Pricing Turkey'!F25</f>
        <v>STEEL</v>
      </c>
      <c r="G43" s="123">
        <f>'Pricing Turkey'!G25*G$7</f>
        <v>5782</v>
      </c>
      <c r="H43" s="123">
        <f t="shared" si="0"/>
        <v>1170.855</v>
      </c>
      <c r="I43" s="147">
        <f t="shared" si="5"/>
        <v>611.15739999999994</v>
      </c>
      <c r="J43" s="123">
        <f t="shared" si="1"/>
        <v>1057.5944857333332</v>
      </c>
      <c r="K43" s="123">
        <f t="shared" si="2"/>
        <v>404.74000000000007</v>
      </c>
      <c r="L43" s="123">
        <f t="shared" si="3"/>
        <v>1445.5</v>
      </c>
      <c r="M43" s="132">
        <f t="shared" si="6"/>
        <v>8931.1996428666662</v>
      </c>
      <c r="N43" s="132">
        <f t="shared" si="8"/>
        <v>9509.3996428666669</v>
      </c>
      <c r="O43" s="132">
        <f t="shared" si="4"/>
        <v>10471.846885733334</v>
      </c>
      <c r="P43" s="129"/>
      <c r="Q43" s="129"/>
      <c r="R43" s="129"/>
      <c r="S43" s="129"/>
      <c r="T43" s="133"/>
      <c r="U43" s="125"/>
      <c r="V43" s="126"/>
      <c r="W43" s="126"/>
      <c r="X43" s="126"/>
      <c r="Y43" s="132"/>
      <c r="Z43" s="132"/>
    </row>
    <row r="44" spans="1:26" s="120" customFormat="1" ht="21" customHeight="1" x14ac:dyDescent="0.25">
      <c r="A44" s="1" t="str">
        <f>+'Pricing Turkey'!A26</f>
        <v>IT.1-16</v>
      </c>
      <c r="B44" s="75" t="str">
        <f>+'Pricing Turkey'!B26</f>
        <v>ARCADE CABINE 1400/1300 + ARCADE CONTRE-POIDS + TIRANDS + COULISSEAUX GEARLESS</v>
      </c>
      <c r="C44" s="75" t="str">
        <f>+'Pricing Turkey'!C26</f>
        <v>CABINE &amp; ARCADE</v>
      </c>
      <c r="D44" s="75" t="str">
        <f>+'Pricing Turkey'!D26</f>
        <v>SET</v>
      </c>
      <c r="E44" s="75">
        <f>+'Pricing Turkey'!E26</f>
        <v>202</v>
      </c>
      <c r="F44" s="75" t="str">
        <f>+'Pricing Turkey'!F26</f>
        <v>STEEL</v>
      </c>
      <c r="G44" s="123">
        <f>'Pricing Turkey'!G26*G$7</f>
        <v>9212</v>
      </c>
      <c r="H44" s="123">
        <f t="shared" si="0"/>
        <v>1865.43</v>
      </c>
      <c r="I44" s="147">
        <f t="shared" si="5"/>
        <v>973.70839999999987</v>
      </c>
      <c r="J44" s="123">
        <f t="shared" si="1"/>
        <v>1688.1407610666665</v>
      </c>
      <c r="K44" s="123">
        <f t="shared" si="2"/>
        <v>644.84</v>
      </c>
      <c r="L44" s="123">
        <f t="shared" si="3"/>
        <v>2303</v>
      </c>
      <c r="M44" s="132">
        <f t="shared" si="6"/>
        <v>14230.948780533332</v>
      </c>
      <c r="N44" s="132">
        <f t="shared" si="8"/>
        <v>15152.148780533333</v>
      </c>
      <c r="O44" s="132">
        <f t="shared" si="4"/>
        <v>16687.119161066665</v>
      </c>
      <c r="P44" s="129"/>
      <c r="Q44" s="129"/>
      <c r="R44" s="129"/>
      <c r="S44" s="129"/>
      <c r="T44" s="133"/>
      <c r="U44" s="125"/>
      <c r="V44" s="126"/>
      <c r="W44" s="126"/>
      <c r="X44" s="126"/>
      <c r="Y44" s="132"/>
      <c r="Z44" s="132"/>
    </row>
    <row r="45" spans="1:26" s="120" customFormat="1" ht="21" customHeight="1" x14ac:dyDescent="0.25">
      <c r="A45" s="1" t="str">
        <f>+'Pricing Turkey'!A27</f>
        <v>IT.1-17</v>
      </c>
      <c r="B45" s="75" t="str">
        <f>+'Pricing Turkey'!B27</f>
        <v>SET ARCADE TYPE L VVVF 2V</v>
      </c>
      <c r="C45" s="75" t="str">
        <f>+'Pricing Turkey'!C27</f>
        <v>CABINE &amp; ARCADE</v>
      </c>
      <c r="D45" s="75" t="str">
        <f>+'Pricing Turkey'!D27</f>
        <v>SET</v>
      </c>
      <c r="E45" s="75">
        <f>+'Pricing Turkey'!E27</f>
        <v>203</v>
      </c>
      <c r="F45" s="75" t="str">
        <f>+'Pricing Turkey'!F27</f>
        <v>STEEL</v>
      </c>
      <c r="G45" s="123">
        <f>'Pricing Turkey'!G27*G$7</f>
        <v>9800</v>
      </c>
      <c r="H45" s="123">
        <f t="shared" si="0"/>
        <v>1984.5000000000002</v>
      </c>
      <c r="I45" s="147">
        <f t="shared" si="5"/>
        <v>1035.8599999999999</v>
      </c>
      <c r="J45" s="123">
        <f t="shared" si="1"/>
        <v>1796.4706666666666</v>
      </c>
      <c r="K45" s="123">
        <f t="shared" si="2"/>
        <v>686.00000000000011</v>
      </c>
      <c r="L45" s="123">
        <f t="shared" si="3"/>
        <v>2450</v>
      </c>
      <c r="M45" s="132">
        <f t="shared" si="6"/>
        <v>15139.595333333335</v>
      </c>
      <c r="N45" s="132">
        <f t="shared" si="8"/>
        <v>16119.595333333335</v>
      </c>
      <c r="O45" s="132">
        <f t="shared" si="4"/>
        <v>17752.830666666669</v>
      </c>
      <c r="P45" s="129"/>
      <c r="Q45" s="129"/>
      <c r="R45" s="129"/>
      <c r="S45" s="129"/>
      <c r="T45" s="133"/>
      <c r="U45" s="125"/>
      <c r="V45" s="126"/>
      <c r="W45" s="126"/>
      <c r="X45" s="126"/>
      <c r="Y45" s="132"/>
      <c r="Z45" s="132"/>
    </row>
    <row r="46" spans="1:26" s="120" customFormat="1" ht="21" customHeight="1" x14ac:dyDescent="0.25">
      <c r="A46" s="1" t="str">
        <f>+'Pricing Turkey'!A28</f>
        <v>IT.1-18</v>
      </c>
      <c r="B46" s="75" t="str">
        <f>+'Pricing Turkey'!B28</f>
        <v>SET ARCADE TYPE L GEARLESS</v>
      </c>
      <c r="C46" s="75" t="str">
        <f>+'Pricing Turkey'!C28</f>
        <v>CABINE &amp; ARCADE</v>
      </c>
      <c r="D46" s="75" t="str">
        <f>+'Pricing Turkey'!D28</f>
        <v>SET</v>
      </c>
      <c r="E46" s="75">
        <f>+'Pricing Turkey'!E28</f>
        <v>204</v>
      </c>
      <c r="F46" s="75" t="str">
        <f>+'Pricing Turkey'!F28</f>
        <v>STEEL</v>
      </c>
      <c r="G46" s="123">
        <f>'Pricing Turkey'!G28*G$7</f>
        <v>11760</v>
      </c>
      <c r="H46" s="123">
        <f t="shared" si="0"/>
        <v>2381.4</v>
      </c>
      <c r="I46" s="147">
        <f t="shared" si="5"/>
        <v>1243.0319999999999</v>
      </c>
      <c r="J46" s="123">
        <f t="shared" si="1"/>
        <v>2158.0697599999999</v>
      </c>
      <c r="K46" s="123">
        <f t="shared" si="2"/>
        <v>823.2</v>
      </c>
      <c r="L46" s="123">
        <f t="shared" si="3"/>
        <v>2940</v>
      </c>
      <c r="M46" s="132">
        <f t="shared" si="6"/>
        <v>18168.666880000001</v>
      </c>
      <c r="N46" s="132">
        <f t="shared" si="8"/>
        <v>19344.666880000001</v>
      </c>
      <c r="O46" s="132">
        <f t="shared" si="4"/>
        <v>21305.70176</v>
      </c>
      <c r="P46" s="129"/>
      <c r="Q46" s="129"/>
      <c r="R46" s="129"/>
      <c r="S46" s="129"/>
      <c r="T46" s="133"/>
      <c r="U46" s="125"/>
      <c r="V46" s="126"/>
      <c r="W46" s="126"/>
      <c r="X46" s="126"/>
      <c r="Y46" s="132"/>
      <c r="Z46" s="132"/>
    </row>
    <row r="47" spans="1:26" s="120" customFormat="1" ht="21" customHeight="1" x14ac:dyDescent="0.25">
      <c r="A47" s="1" t="str">
        <f>+'Pricing Turkey'!A29</f>
        <v>HYD1-1</v>
      </c>
      <c r="B47" s="75" t="str">
        <f>+'Pricing Turkey'!B29</f>
        <v>SET SYSTÈME HYDRAULIQUE MAX4 STANDARD 0,15M/S 10M COURSE (4 NIVEAUX)</v>
      </c>
      <c r="C47" s="75" t="str">
        <f>+'Pricing Turkey'!C29</f>
        <v>HYDRAULIQUE</v>
      </c>
      <c r="D47" s="75" t="str">
        <f>+'Pricing Turkey'!D29</f>
        <v>SET</v>
      </c>
      <c r="E47" s="75">
        <f>+'Pricing Turkey'!E29</f>
        <v>200</v>
      </c>
      <c r="F47" s="75" t="str">
        <f>+'Pricing Turkey'!F29</f>
        <v>STEEL</v>
      </c>
      <c r="G47" s="123">
        <f>'Pricing Turkey'!G29*G$7</f>
        <v>14700.000000000002</v>
      </c>
      <c r="H47" s="123">
        <f t="shared" si="0"/>
        <v>2976.7500000000005</v>
      </c>
      <c r="I47" s="147">
        <f t="shared" si="5"/>
        <v>1553.79</v>
      </c>
      <c r="J47" s="123">
        <f t="shared" si="1"/>
        <v>2701.9090000000006</v>
      </c>
      <c r="K47" s="123">
        <f t="shared" si="2"/>
        <v>1029.0000000000002</v>
      </c>
      <c r="L47" s="123">
        <f t="shared" si="3"/>
        <v>3675.0000000000005</v>
      </c>
      <c r="M47" s="132">
        <f t="shared" si="6"/>
        <v>22712.994500000004</v>
      </c>
      <c r="N47" s="132">
        <f t="shared" si="8"/>
        <v>24182.994500000004</v>
      </c>
      <c r="O47" s="132">
        <f t="shared" si="4"/>
        <v>26636.449000000004</v>
      </c>
      <c r="P47" s="129"/>
      <c r="Q47" s="129"/>
      <c r="R47" s="129"/>
      <c r="S47" s="129"/>
      <c r="T47" s="133"/>
      <c r="U47" s="125"/>
      <c r="V47" s="126"/>
      <c r="W47" s="126"/>
      <c r="X47" s="126"/>
      <c r="Y47" s="132"/>
      <c r="Z47" s="132"/>
    </row>
    <row r="48" spans="1:26" s="120" customFormat="1" ht="21" customHeight="1" x14ac:dyDescent="0.25">
      <c r="A48" s="1" t="str">
        <f>+'Pricing Turkey'!A30</f>
        <v>HYD1-2</v>
      </c>
      <c r="B48" s="75" t="str">
        <f>+'Pricing Turkey'!B30</f>
        <v>SET SYSTÈME HYDRAULIQUE MAX4 STANDARD 0,15M/S 7M COURSE (3 NIVEAUX)</v>
      </c>
      <c r="C48" s="75" t="str">
        <f>+'Pricing Turkey'!C30</f>
        <v>HYDRAULIQUE</v>
      </c>
      <c r="D48" s="75" t="str">
        <f>+'Pricing Turkey'!D30</f>
        <v>SET</v>
      </c>
      <c r="E48" s="75">
        <f>+'Pricing Turkey'!E30</f>
        <v>198</v>
      </c>
      <c r="F48" s="75" t="str">
        <f>+'Pricing Turkey'!F30</f>
        <v>STEEL</v>
      </c>
      <c r="G48" s="123">
        <f>'Pricing Turkey'!G30*G$7</f>
        <v>0</v>
      </c>
      <c r="H48" s="123">
        <f t="shared" si="0"/>
        <v>521.23500000000001</v>
      </c>
      <c r="I48" s="147">
        <f t="shared" si="5"/>
        <v>0</v>
      </c>
      <c r="J48" s="123">
        <f t="shared" si="1"/>
        <v>0</v>
      </c>
      <c r="K48" s="123">
        <f t="shared" si="2"/>
        <v>0</v>
      </c>
      <c r="L48" s="123">
        <f t="shared" si="3"/>
        <v>0</v>
      </c>
      <c r="M48" s="132">
        <f t="shared" si="6"/>
        <v>521.23500000000001</v>
      </c>
      <c r="N48" s="132">
        <f t="shared" si="8"/>
        <v>521.23500000000001</v>
      </c>
      <c r="O48" s="132">
        <f t="shared" si="4"/>
        <v>521.23500000000001</v>
      </c>
      <c r="P48" s="129"/>
      <c r="Q48" s="129"/>
      <c r="R48" s="129"/>
      <c r="S48" s="129"/>
      <c r="T48" s="133"/>
      <c r="U48" s="125"/>
      <c r="V48" s="126"/>
      <c r="W48" s="126"/>
      <c r="X48" s="126"/>
      <c r="Y48" s="132"/>
      <c r="Z48" s="132"/>
    </row>
    <row r="49" spans="1:26" s="120" customFormat="1" ht="21" customHeight="1" x14ac:dyDescent="0.25">
      <c r="A49" s="1" t="str">
        <f>+'Pricing Turkey'!A31</f>
        <v>HYD1-3</v>
      </c>
      <c r="B49" s="75" t="str">
        <f>+'Pricing Turkey'!B31</f>
        <v>SET SYSTÈME HYDRAULIQUE MAX4 STANDARD 0,15M/S 4M COURSE (2 NIVEAUX)</v>
      </c>
      <c r="C49" s="75" t="str">
        <f>+'Pricing Turkey'!C31</f>
        <v>HYDRAULIQUE</v>
      </c>
      <c r="D49" s="75" t="str">
        <f>+'Pricing Turkey'!D31</f>
        <v>SET</v>
      </c>
      <c r="E49" s="75">
        <f>+'Pricing Turkey'!E31</f>
        <v>199</v>
      </c>
      <c r="F49" s="75" t="str">
        <f>+'Pricing Turkey'!F31</f>
        <v>STEEL</v>
      </c>
      <c r="G49" s="123">
        <f>'Pricing Turkey'!G31*G$7</f>
        <v>0</v>
      </c>
      <c r="H49" s="123">
        <f t="shared" si="0"/>
        <v>523.86750000000006</v>
      </c>
      <c r="I49" s="147">
        <f t="shared" si="5"/>
        <v>0</v>
      </c>
      <c r="J49" s="123">
        <f t="shared" si="1"/>
        <v>0</v>
      </c>
      <c r="K49" s="123">
        <f t="shared" si="2"/>
        <v>0</v>
      </c>
      <c r="L49" s="123">
        <f t="shared" si="3"/>
        <v>0</v>
      </c>
      <c r="M49" s="132">
        <f t="shared" si="6"/>
        <v>523.86750000000006</v>
      </c>
      <c r="N49" s="132">
        <f t="shared" si="8"/>
        <v>523.86750000000006</v>
      </c>
      <c r="O49" s="132">
        <f t="shared" si="4"/>
        <v>523.86750000000006</v>
      </c>
      <c r="P49" s="129"/>
      <c r="Q49" s="129"/>
      <c r="R49" s="129"/>
      <c r="S49" s="129"/>
      <c r="T49" s="133"/>
      <c r="U49" s="125"/>
      <c r="V49" s="126"/>
      <c r="W49" s="126"/>
      <c r="X49" s="126"/>
      <c r="Y49" s="132"/>
      <c r="Z49" s="132"/>
    </row>
    <row r="50" spans="1:26" s="120" customFormat="1" ht="21" customHeight="1" x14ac:dyDescent="0.25">
      <c r="A50" s="1" t="str">
        <f>+'Pricing Turkey'!A32</f>
        <v>HYD2-1</v>
      </c>
      <c r="B50" s="75" t="str">
        <f>+'Pricing Turkey'!B32</f>
        <v>SET SYSTÈME HYDRAULIQUE MAX4 GMV 0,62M/S 10M COURSE (4 NIVEAUX)</v>
      </c>
      <c r="C50" s="75" t="str">
        <f>+'Pricing Turkey'!C32</f>
        <v>HYDRAULIQUE</v>
      </c>
      <c r="D50" s="75" t="str">
        <f>+'Pricing Turkey'!D32</f>
        <v>SET</v>
      </c>
      <c r="E50" s="75">
        <f>+'Pricing Turkey'!E32</f>
        <v>200</v>
      </c>
      <c r="F50" s="75" t="str">
        <f>+'Pricing Turkey'!F32</f>
        <v>STEEL</v>
      </c>
      <c r="G50" s="123">
        <f>'Pricing Turkey'!G32*G$7</f>
        <v>32340.000000000007</v>
      </c>
      <c r="H50" s="123">
        <f t="shared" si="0"/>
        <v>6548.8500000000022</v>
      </c>
      <c r="I50" s="147">
        <f t="shared" si="5"/>
        <v>3418.3380000000002</v>
      </c>
      <c r="J50" s="123">
        <f t="shared" si="1"/>
        <v>6001.2475600000016</v>
      </c>
      <c r="K50" s="123">
        <f t="shared" si="2"/>
        <v>2263.8000000000006</v>
      </c>
      <c r="L50" s="123">
        <f t="shared" si="3"/>
        <v>8085.0000000000018</v>
      </c>
      <c r="M50" s="132">
        <f t="shared" si="6"/>
        <v>49997.111780000014</v>
      </c>
      <c r="N50" s="132">
        <f t="shared" si="8"/>
        <v>53231.111780000014</v>
      </c>
      <c r="O50" s="132">
        <f t="shared" si="4"/>
        <v>58657.235560000016</v>
      </c>
      <c r="P50" s="129"/>
      <c r="Q50" s="129"/>
      <c r="R50" s="129"/>
      <c r="S50" s="129"/>
      <c r="T50" s="133"/>
      <c r="U50" s="125"/>
      <c r="V50" s="126"/>
      <c r="W50" s="126"/>
      <c r="X50" s="126"/>
      <c r="Y50" s="132"/>
      <c r="Z50" s="132"/>
    </row>
    <row r="51" spans="1:26" s="120" customFormat="1" ht="21" customHeight="1" x14ac:dyDescent="0.25">
      <c r="A51" s="1" t="str">
        <f>+'Pricing Turkey'!A33</f>
        <v>HYD2-2</v>
      </c>
      <c r="B51" s="75" t="str">
        <f>+'Pricing Turkey'!B33</f>
        <v>SET SYSTÈME HYDRAULIQUE MAX4 GMV 0,62M/S 7M COURSE (3 NIVEAUX)</v>
      </c>
      <c r="C51" s="75" t="str">
        <f>+'Pricing Turkey'!C33</f>
        <v>HYDRAULIQUE</v>
      </c>
      <c r="D51" s="75" t="str">
        <f>+'Pricing Turkey'!D33</f>
        <v>SET</v>
      </c>
      <c r="E51" s="75">
        <f>+'Pricing Turkey'!E33</f>
        <v>200</v>
      </c>
      <c r="F51" s="75" t="str">
        <f>+'Pricing Turkey'!F33</f>
        <v>STEEL</v>
      </c>
      <c r="G51" s="123">
        <f>'Pricing Turkey'!G33*G$7</f>
        <v>29400.000000000004</v>
      </c>
      <c r="H51" s="123">
        <f t="shared" si="0"/>
        <v>5953.5000000000009</v>
      </c>
      <c r="I51" s="147">
        <f t="shared" si="5"/>
        <v>3107.58</v>
      </c>
      <c r="J51" s="123">
        <f t="shared" si="1"/>
        <v>5447.036000000001</v>
      </c>
      <c r="K51" s="123">
        <f t="shared" si="2"/>
        <v>2058.0000000000005</v>
      </c>
      <c r="L51" s="123">
        <f t="shared" si="3"/>
        <v>7350.0000000000009</v>
      </c>
      <c r="M51" s="132">
        <f t="shared" si="6"/>
        <v>45447.598000000013</v>
      </c>
      <c r="N51" s="132">
        <f t="shared" si="8"/>
        <v>48387.598000000013</v>
      </c>
      <c r="O51" s="132">
        <f t="shared" si="4"/>
        <v>53316.116000000009</v>
      </c>
      <c r="P51" s="129"/>
      <c r="Q51" s="129"/>
      <c r="R51" s="129"/>
      <c r="S51" s="129"/>
      <c r="T51" s="133"/>
      <c r="U51" s="125"/>
      <c r="V51" s="126"/>
      <c r="W51" s="126"/>
      <c r="X51" s="126"/>
      <c r="Y51" s="132"/>
      <c r="Z51" s="132"/>
    </row>
    <row r="52" spans="1:26" s="120" customFormat="1" ht="21" customHeight="1" x14ac:dyDescent="0.25">
      <c r="A52" s="1" t="str">
        <f>+'Pricing Turkey'!A34</f>
        <v>HYD2-3</v>
      </c>
      <c r="B52" s="75" t="str">
        <f>+'Pricing Turkey'!B34</f>
        <v>SET SYSTÈME HYDRAULIQUE MAX4 GMV 0,62M/S 4M COURSE (2 NIVEAUX)</v>
      </c>
      <c r="C52" s="75" t="str">
        <f>+'Pricing Turkey'!C34</f>
        <v>HYDRAULIQUE</v>
      </c>
      <c r="D52" s="75" t="str">
        <f>+'Pricing Turkey'!D34</f>
        <v>SET</v>
      </c>
      <c r="E52" s="75">
        <f>+'Pricing Turkey'!E34</f>
        <v>200</v>
      </c>
      <c r="F52" s="75" t="str">
        <f>+'Pricing Turkey'!F34</f>
        <v>STEEL</v>
      </c>
      <c r="G52" s="123">
        <f>'Pricing Turkey'!G34*G$7</f>
        <v>26460.000000000004</v>
      </c>
      <c r="H52" s="123">
        <f t="shared" si="0"/>
        <v>5358.1500000000015</v>
      </c>
      <c r="I52" s="147">
        <f t="shared" si="5"/>
        <v>2796.8220000000001</v>
      </c>
      <c r="J52" s="123">
        <f t="shared" si="1"/>
        <v>4894.5531600000013</v>
      </c>
      <c r="K52" s="123">
        <f t="shared" si="2"/>
        <v>1852.2000000000005</v>
      </c>
      <c r="L52" s="123">
        <f t="shared" si="3"/>
        <v>6615.0000000000009</v>
      </c>
      <c r="M52" s="132">
        <f t="shared" si="6"/>
        <v>40898.948580000004</v>
      </c>
      <c r="N52" s="132">
        <f t="shared" si="8"/>
        <v>43544.948580000004</v>
      </c>
      <c r="O52" s="132">
        <f t="shared" si="4"/>
        <v>47976.725160000009</v>
      </c>
      <c r="P52" s="129"/>
      <c r="Q52" s="129"/>
      <c r="R52" s="129"/>
      <c r="S52" s="129"/>
      <c r="T52" s="133"/>
      <c r="U52" s="125"/>
      <c r="V52" s="126"/>
      <c r="W52" s="126"/>
      <c r="X52" s="126"/>
      <c r="Y52" s="132"/>
      <c r="Z52" s="132"/>
    </row>
    <row r="53" spans="1:26" s="120" customFormat="1" ht="21" customHeight="1" x14ac:dyDescent="0.25">
      <c r="A53" s="1" t="str">
        <f>+'Pricing Turkey'!A35</f>
        <v>HYD3</v>
      </c>
      <c r="B53" s="75" t="str">
        <f>+'Pricing Turkey'!B35</f>
        <v>SET COMPOSANTES ELECTRIQUES POUR SYSTEME HYDRAULIQUE</v>
      </c>
      <c r="C53" s="75" t="str">
        <f>+'Pricing Turkey'!C35</f>
        <v>HYDRAULIQUE</v>
      </c>
      <c r="D53" s="75" t="str">
        <f>+'Pricing Turkey'!D35</f>
        <v>SET</v>
      </c>
      <c r="E53" s="75">
        <f>+'Pricing Turkey'!E35</f>
        <v>200</v>
      </c>
      <c r="F53" s="75" t="str">
        <f>+'Pricing Turkey'!F35</f>
        <v>STEEL</v>
      </c>
      <c r="G53" s="123">
        <f>'Pricing Turkey'!G35*G$7</f>
        <v>7840.0000000000009</v>
      </c>
      <c r="H53" s="123">
        <f t="shared" ref="H53:H84" si="9">IF(F53="STEEL",MAX(G53,E53*13)*20.25%,IF(F53="GALVA",MAX(G53,E53*24)*20.25%,IF(F53="INOX",MAX(G53,E53*40)*20.25%,IF(F53="COPPER",MAX(G53,E53*60)*20.25%,G53*20.25%))))</f>
        <v>1587.6000000000004</v>
      </c>
      <c r="I53" s="147">
        <f t="shared" si="5"/>
        <v>828.68799999999999</v>
      </c>
      <c r="J53" s="123">
        <f t="shared" ref="J53:J84" si="10">(J$9+J$7*G53)/($G$5*$H$5)*G53</f>
        <v>1435.6398933333335</v>
      </c>
      <c r="K53" s="123">
        <f t="shared" ref="K53:K84" si="11">K$7*G53</f>
        <v>548.80000000000007</v>
      </c>
      <c r="L53" s="123">
        <f t="shared" ref="L53:L84" si="12">+G53*L$7</f>
        <v>1960.0000000000002</v>
      </c>
      <c r="M53" s="132">
        <f t="shared" si="6"/>
        <v>12110.907946666668</v>
      </c>
      <c r="N53" s="132">
        <f t="shared" ref="N53:N84" si="13">+G53+H53+I53+J53*50%+K53+L53*70%</f>
        <v>12894.907946666668</v>
      </c>
      <c r="O53" s="132">
        <f t="shared" ref="O53:O84" si="14">+SUM(H53:L53)+G53</f>
        <v>14200.727893333335</v>
      </c>
      <c r="P53" s="129"/>
      <c r="Q53" s="129"/>
      <c r="R53" s="129"/>
      <c r="S53" s="129"/>
      <c r="T53" s="133"/>
      <c r="U53" s="125"/>
      <c r="V53" s="126"/>
      <c r="W53" s="126"/>
      <c r="X53" s="126"/>
      <c r="Y53" s="132"/>
      <c r="Z53" s="132"/>
    </row>
    <row r="54" spans="1:26" s="120" customFormat="1" ht="21" customHeight="1" x14ac:dyDescent="0.25">
      <c r="A54" s="1" t="str">
        <f>+'Pricing Turkey'!A36</f>
        <v>HYD4</v>
      </c>
      <c r="B54" s="75" t="str">
        <f>+'Pricing Turkey'!B36</f>
        <v>HUILE HYDRAULIQUE</v>
      </c>
      <c r="C54" s="75" t="str">
        <f>+'Pricing Turkey'!C36</f>
        <v>HYDRAULIQUE</v>
      </c>
      <c r="D54" s="75" t="str">
        <f>+'Pricing Turkey'!D36</f>
        <v>L</v>
      </c>
      <c r="E54" s="75">
        <f>+'Pricing Turkey'!E36</f>
        <v>1</v>
      </c>
      <c r="F54" s="75" t="str">
        <f>+'Pricing Turkey'!F36</f>
        <v>OIL</v>
      </c>
      <c r="G54" s="123">
        <f>'Pricing Turkey'!G36*G$7</f>
        <v>39.200000000000003</v>
      </c>
      <c r="H54" s="123">
        <f t="shared" si="9"/>
        <v>7.9380000000000015</v>
      </c>
      <c r="I54" s="147">
        <f t="shared" si="5"/>
        <v>4.14344</v>
      </c>
      <c r="J54" s="123">
        <f t="shared" si="10"/>
        <v>7.1476203306666672</v>
      </c>
      <c r="K54" s="123">
        <f t="shared" si="11"/>
        <v>2.7440000000000007</v>
      </c>
      <c r="L54" s="123">
        <f t="shared" si="12"/>
        <v>9.8000000000000007</v>
      </c>
      <c r="M54" s="132">
        <f t="shared" si="6"/>
        <v>60.539250165333335</v>
      </c>
      <c r="N54" s="132">
        <f t="shared" si="13"/>
        <v>64.459250165333344</v>
      </c>
      <c r="O54" s="132">
        <f t="shared" si="14"/>
        <v>70.973060330666669</v>
      </c>
      <c r="P54" s="129"/>
      <c r="Q54" s="129"/>
      <c r="R54" s="129"/>
      <c r="S54" s="129"/>
      <c r="T54" s="133"/>
      <c r="U54" s="125"/>
      <c r="V54" s="126"/>
      <c r="W54" s="126"/>
      <c r="X54" s="126"/>
      <c r="Y54" s="132"/>
      <c r="Z54" s="132"/>
    </row>
    <row r="55" spans="1:26" s="120" customFormat="1" ht="21" customHeight="1" x14ac:dyDescent="0.25">
      <c r="A55" s="1" t="str">
        <f>+'Pricing Turkey'!A37</f>
        <v>IT.2</v>
      </c>
      <c r="B55" s="75" t="str">
        <f>+'Pricing Turkey'!B37</f>
        <v>PORTE PALIERE AUTOMATIQUE INOX ATERYA 70/80</v>
      </c>
      <c r="C55" s="75" t="str">
        <f>+'Pricing Turkey'!C37</f>
        <v>PORTE</v>
      </c>
      <c r="D55" s="75" t="str">
        <f>+'Pricing Turkey'!D37</f>
        <v>Pc</v>
      </c>
      <c r="E55" s="75">
        <f>+'Pricing Turkey'!E37</f>
        <v>145</v>
      </c>
      <c r="F55" s="75" t="str">
        <f>+'Pricing Turkey'!F37</f>
        <v>INOX</v>
      </c>
      <c r="G55" s="123">
        <f>'Pricing Turkey'!G37*G$7</f>
        <v>2476.8872630528767</v>
      </c>
      <c r="H55" s="123">
        <f t="shared" si="9"/>
        <v>1174.5</v>
      </c>
      <c r="I55" s="147">
        <f t="shared" si="5"/>
        <v>261.80698370468906</v>
      </c>
      <c r="J55" s="123">
        <f t="shared" si="10"/>
        <v>452.23260801469519</v>
      </c>
      <c r="K55" s="123">
        <f t="shared" si="11"/>
        <v>173.38210841370139</v>
      </c>
      <c r="L55" s="123">
        <f t="shared" si="12"/>
        <v>619.22181576321918</v>
      </c>
      <c r="M55" s="132">
        <f t="shared" si="6"/>
        <v>4498.4592039075806</v>
      </c>
      <c r="N55" s="132">
        <f t="shared" si="13"/>
        <v>4746.1479302128682</v>
      </c>
      <c r="O55" s="132">
        <f t="shared" si="14"/>
        <v>5158.0307789491817</v>
      </c>
      <c r="P55" s="129"/>
      <c r="Q55" s="129"/>
      <c r="R55" s="129"/>
      <c r="S55" s="129"/>
      <c r="T55" s="133"/>
      <c r="U55" s="125"/>
      <c r="V55" s="126"/>
      <c r="W55" s="126"/>
      <c r="X55" s="126"/>
      <c r="Y55" s="132"/>
      <c r="Z55" s="132"/>
    </row>
    <row r="56" spans="1:26" s="120" customFormat="1" ht="21" customHeight="1" x14ac:dyDescent="0.25">
      <c r="A56" s="1" t="str">
        <f>+'Pricing Turkey'!A38</f>
        <v>IT.3</v>
      </c>
      <c r="B56" s="75" t="str">
        <f>+'Pricing Turkey'!B38</f>
        <v>PORTE PALIERE AUTOMATIQUE EPOXY ATERYA 70/80</v>
      </c>
      <c r="C56" s="75" t="str">
        <f>+'Pricing Turkey'!C38</f>
        <v>PORTE</v>
      </c>
      <c r="D56" s="75" t="str">
        <f>+'Pricing Turkey'!D38</f>
        <v>Pc</v>
      </c>
      <c r="E56" s="75">
        <f>+'Pricing Turkey'!E38</f>
        <v>140</v>
      </c>
      <c r="F56" s="75" t="str">
        <f>+'Pricing Turkey'!F38</f>
        <v>STEEL</v>
      </c>
      <c r="G56" s="123">
        <f>'Pricing Turkey'!G38*G$7</f>
        <v>1825.0748254073833</v>
      </c>
      <c r="H56" s="123">
        <f t="shared" si="9"/>
        <v>369.57765214499511</v>
      </c>
      <c r="I56" s="147">
        <f t="shared" si="5"/>
        <v>192.91040904556039</v>
      </c>
      <c r="J56" s="123">
        <f t="shared" si="10"/>
        <v>333.10506631111315</v>
      </c>
      <c r="K56" s="123">
        <f t="shared" si="11"/>
        <v>127.75523777851684</v>
      </c>
      <c r="L56" s="123">
        <f t="shared" si="12"/>
        <v>456.26870635184582</v>
      </c>
      <c r="M56" s="132">
        <f t="shared" si="6"/>
        <v>2818.751269437566</v>
      </c>
      <c r="N56" s="132">
        <f t="shared" si="13"/>
        <v>3001.2587519783042</v>
      </c>
      <c r="O56" s="132">
        <f t="shared" si="14"/>
        <v>3304.6918970394145</v>
      </c>
      <c r="P56" s="129"/>
      <c r="Q56" s="129"/>
      <c r="R56" s="129"/>
      <c r="S56" s="129"/>
      <c r="T56" s="133"/>
      <c r="U56" s="125"/>
      <c r="V56" s="126"/>
      <c r="W56" s="126"/>
      <c r="X56" s="126"/>
      <c r="Y56" s="132"/>
      <c r="Z56" s="132"/>
    </row>
    <row r="57" spans="1:26" s="120" customFormat="1" ht="21" customHeight="1" x14ac:dyDescent="0.25">
      <c r="A57" s="1" t="str">
        <f>+'Pricing Turkey'!A39</f>
        <v>IT.4</v>
      </c>
      <c r="B57" s="75" t="str">
        <f>+'Pricing Turkey'!B39</f>
        <v>OPERATEUR INOX ATERYA 70/80</v>
      </c>
      <c r="C57" s="75" t="str">
        <f>+'Pricing Turkey'!C39</f>
        <v>OPÉRATEUR</v>
      </c>
      <c r="D57" s="75" t="str">
        <f>+'Pricing Turkey'!D39</f>
        <v>Pc</v>
      </c>
      <c r="E57" s="75">
        <f>+'Pricing Turkey'!E39</f>
        <v>38</v>
      </c>
      <c r="F57" s="75" t="str">
        <f>+'Pricing Turkey'!F39</f>
        <v>INOX</v>
      </c>
      <c r="G57" s="123">
        <f>'Pricing Turkey'!G39*G$7</f>
        <v>4106.4183571666117</v>
      </c>
      <c r="H57" s="123">
        <f t="shared" si="9"/>
        <v>831.54971732623892</v>
      </c>
      <c r="I57" s="147">
        <f t="shared" si="5"/>
        <v>434.04842035251079</v>
      </c>
      <c r="J57" s="123">
        <f t="shared" si="10"/>
        <v>750.42321429578635</v>
      </c>
      <c r="K57" s="123">
        <f t="shared" si="11"/>
        <v>287.44928500166287</v>
      </c>
      <c r="L57" s="123">
        <f t="shared" si="12"/>
        <v>1026.6045892916529</v>
      </c>
      <c r="M57" s="132">
        <f t="shared" si="6"/>
        <v>6342.6587637824141</v>
      </c>
      <c r="N57" s="132">
        <f t="shared" si="13"/>
        <v>6753.3005994990754</v>
      </c>
      <c r="O57" s="132">
        <f t="shared" si="14"/>
        <v>7436.4935834344633</v>
      </c>
      <c r="P57" s="129"/>
      <c r="Q57" s="129"/>
      <c r="R57" s="129"/>
      <c r="S57" s="129"/>
      <c r="T57" s="133"/>
      <c r="U57" s="125"/>
      <c r="V57" s="126"/>
      <c r="W57" s="126"/>
      <c r="X57" s="126"/>
      <c r="Y57" s="132"/>
      <c r="Z57" s="132"/>
    </row>
    <row r="58" spans="1:26" s="120" customFormat="1" ht="21" customHeight="1" x14ac:dyDescent="0.25">
      <c r="A58" s="1" t="str">
        <f>+'Pricing Turkey'!A40</f>
        <v>IT.5</v>
      </c>
      <c r="B58" s="75" t="str">
        <f>+'Pricing Turkey'!B40</f>
        <v>SEMI AUTOMATIC PORTE EPOXY 70/80</v>
      </c>
      <c r="C58" s="75" t="str">
        <f>+'Pricing Turkey'!C40</f>
        <v>PORTE</v>
      </c>
      <c r="D58" s="75" t="str">
        <f>+'Pricing Turkey'!D40</f>
        <v>Pc</v>
      </c>
      <c r="E58" s="75">
        <f>+'Pricing Turkey'!E40</f>
        <v>90</v>
      </c>
      <c r="F58" s="75" t="str">
        <f>+'Pricing Turkey'!F40</f>
        <v>STEEL</v>
      </c>
      <c r="G58" s="123">
        <f>'Pricing Turkey'!G40*G$7</f>
        <v>1078</v>
      </c>
      <c r="H58" s="123">
        <f t="shared" si="9"/>
        <v>236.92500000000001</v>
      </c>
      <c r="I58" s="147">
        <f t="shared" si="5"/>
        <v>113.94459999999999</v>
      </c>
      <c r="J58" s="123">
        <f t="shared" si="10"/>
        <v>196.6715417333333</v>
      </c>
      <c r="K58" s="123">
        <f t="shared" si="11"/>
        <v>75.460000000000008</v>
      </c>
      <c r="L58" s="123">
        <f t="shared" si="12"/>
        <v>269.5</v>
      </c>
      <c r="M58" s="132">
        <f t="shared" si="6"/>
        <v>1683.5153708666667</v>
      </c>
      <c r="N58" s="132">
        <f t="shared" si="13"/>
        <v>1791.3153708666669</v>
      </c>
      <c r="O58" s="132">
        <f t="shared" si="14"/>
        <v>1970.5011417333333</v>
      </c>
      <c r="P58" s="129"/>
      <c r="Q58" s="129"/>
      <c r="R58" s="129"/>
      <c r="S58" s="129"/>
      <c r="T58" s="133"/>
      <c r="U58" s="125"/>
      <c r="V58" s="126"/>
      <c r="W58" s="126"/>
      <c r="X58" s="126"/>
      <c r="Y58" s="132"/>
      <c r="Z58" s="132"/>
    </row>
    <row r="59" spans="1:26" s="120" customFormat="1" ht="21" customHeight="1" x14ac:dyDescent="0.25">
      <c r="A59" s="1" t="str">
        <f>+'Pricing Turkey'!A41</f>
        <v>IT.6</v>
      </c>
      <c r="B59" s="75" t="str">
        <f>+'Pricing Turkey'!B41</f>
        <v>SEMI AUTOMATIC PORTE INOX 70/80</v>
      </c>
      <c r="C59" s="75" t="str">
        <f>+'Pricing Turkey'!C41</f>
        <v>PORTE</v>
      </c>
      <c r="D59" s="75" t="str">
        <f>+'Pricing Turkey'!D41</f>
        <v>Pc</v>
      </c>
      <c r="E59" s="75">
        <f>+'Pricing Turkey'!E41</f>
        <v>90</v>
      </c>
      <c r="F59" s="75" t="str">
        <f>+'Pricing Turkey'!F41</f>
        <v>INOX</v>
      </c>
      <c r="G59" s="123">
        <f>'Pricing Turkey'!G41*G$7</f>
        <v>1078</v>
      </c>
      <c r="H59" s="123">
        <f t="shared" si="9"/>
        <v>729</v>
      </c>
      <c r="I59" s="147">
        <f t="shared" si="5"/>
        <v>113.94459999999999</v>
      </c>
      <c r="J59" s="123">
        <f t="shared" si="10"/>
        <v>196.6715417333333</v>
      </c>
      <c r="K59" s="123">
        <f t="shared" si="11"/>
        <v>75.460000000000008</v>
      </c>
      <c r="L59" s="123">
        <f t="shared" si="12"/>
        <v>269.5</v>
      </c>
      <c r="M59" s="132">
        <f t="shared" si="6"/>
        <v>2175.5903708666665</v>
      </c>
      <c r="N59" s="132">
        <f t="shared" si="13"/>
        <v>2283.3903708666667</v>
      </c>
      <c r="O59" s="132">
        <f t="shared" si="14"/>
        <v>2462.5761417333333</v>
      </c>
      <c r="P59" s="129"/>
      <c r="Q59" s="129"/>
      <c r="R59" s="129"/>
      <c r="S59" s="129"/>
      <c r="T59" s="133"/>
      <c r="U59" s="125"/>
      <c r="V59" s="126"/>
      <c r="W59" s="126"/>
      <c r="X59" s="126"/>
      <c r="Y59" s="132"/>
      <c r="Z59" s="132"/>
    </row>
    <row r="60" spans="1:26" s="120" customFormat="1" ht="21" customHeight="1" x14ac:dyDescent="0.25">
      <c r="A60" s="1" t="str">
        <f>+'Pricing Turkey'!A42</f>
        <v>IT.7</v>
      </c>
      <c r="B60" s="75" t="str">
        <f>+'Pricing Turkey'!B42</f>
        <v>SERRURE (DOOR LOCK)</v>
      </c>
      <c r="C60" s="75" t="str">
        <f>+'Pricing Turkey'!C42</f>
        <v>AUTRES</v>
      </c>
      <c r="D60" s="75" t="str">
        <f>+'Pricing Turkey'!D42</f>
        <v>Pc</v>
      </c>
      <c r="E60" s="75">
        <f>+'Pricing Turkey'!E42</f>
        <v>3</v>
      </c>
      <c r="F60" s="75" t="str">
        <f>+'Pricing Turkey'!F42</f>
        <v>STEEL</v>
      </c>
      <c r="G60" s="123">
        <f>'Pricing Turkey'!G42*G$7</f>
        <v>176.4</v>
      </c>
      <c r="H60" s="123">
        <f t="shared" si="9"/>
        <v>35.721000000000004</v>
      </c>
      <c r="I60" s="147">
        <f t="shared" si="5"/>
        <v>18.645479999999999</v>
      </c>
      <c r="J60" s="123">
        <f t="shared" si="10"/>
        <v>32.166711696</v>
      </c>
      <c r="K60" s="123">
        <f t="shared" si="11"/>
        <v>12.348000000000001</v>
      </c>
      <c r="L60" s="123">
        <f t="shared" si="12"/>
        <v>44.1</v>
      </c>
      <c r="M60" s="132">
        <f t="shared" si="6"/>
        <v>272.42783584800003</v>
      </c>
      <c r="N60" s="132">
        <f t="shared" si="13"/>
        <v>290.06783584800002</v>
      </c>
      <c r="O60" s="132">
        <f t="shared" si="14"/>
        <v>319.38119169599997</v>
      </c>
      <c r="P60" s="129"/>
      <c r="Q60" s="129"/>
      <c r="R60" s="129"/>
      <c r="S60" s="129"/>
      <c r="T60" s="133"/>
      <c r="U60" s="125"/>
      <c r="V60" s="126"/>
      <c r="W60" s="126"/>
      <c r="X60" s="126"/>
      <c r="Y60" s="132"/>
      <c r="Z60" s="132"/>
    </row>
    <row r="61" spans="1:26" s="120" customFormat="1" ht="21" customHeight="1" x14ac:dyDescent="0.25">
      <c r="A61" s="1" t="str">
        <f>+'Pricing Turkey'!A43</f>
        <v>IT.8</v>
      </c>
      <c r="B61" s="75" t="str">
        <f>+'Pricing Turkey'!B43</f>
        <v>CAME DC 220V / 60V</v>
      </c>
      <c r="C61" s="75" t="str">
        <f>+'Pricing Turkey'!C43</f>
        <v>AUTRES</v>
      </c>
      <c r="D61" s="75" t="str">
        <f>+'Pricing Turkey'!D43</f>
        <v>Pc</v>
      </c>
      <c r="E61" s="75">
        <f>+'Pricing Turkey'!E43</f>
        <v>4</v>
      </c>
      <c r="F61" s="75" t="str">
        <f>+'Pricing Turkey'!F43</f>
        <v>N</v>
      </c>
      <c r="G61" s="123">
        <f>'Pricing Turkey'!G43*G$7</f>
        <v>431.20000000000005</v>
      </c>
      <c r="H61" s="123">
        <f t="shared" si="9"/>
        <v>87.318000000000012</v>
      </c>
      <c r="I61" s="147">
        <f t="shared" si="5"/>
        <v>45.577840000000002</v>
      </c>
      <c r="J61" s="123">
        <f t="shared" si="10"/>
        <v>78.640726677333333</v>
      </c>
      <c r="K61" s="123">
        <f t="shared" si="11"/>
        <v>30.184000000000005</v>
      </c>
      <c r="L61" s="123">
        <f t="shared" si="12"/>
        <v>107.80000000000001</v>
      </c>
      <c r="M61" s="132">
        <f t="shared" si="6"/>
        <v>665.94020333866672</v>
      </c>
      <c r="N61" s="132">
        <f t="shared" si="13"/>
        <v>709.06020333866672</v>
      </c>
      <c r="O61" s="132">
        <f t="shared" si="14"/>
        <v>780.72056667733341</v>
      </c>
      <c r="P61" s="129"/>
      <c r="Q61" s="129"/>
      <c r="R61" s="129"/>
      <c r="S61" s="129"/>
      <c r="T61" s="133"/>
      <c r="U61" s="125"/>
      <c r="V61" s="126"/>
      <c r="W61" s="126"/>
      <c r="X61" s="126"/>
      <c r="Y61" s="132"/>
      <c r="Z61" s="132"/>
    </row>
    <row r="62" spans="1:26" s="120" customFormat="1" ht="21" customHeight="1" x14ac:dyDescent="0.25">
      <c r="A62" s="1" t="str">
        <f>+'Pricing Turkey'!A44</f>
        <v>IT.9</v>
      </c>
      <c r="B62" s="75" t="str">
        <f>+'Pricing Turkey'!B44</f>
        <v>DICTATOR</v>
      </c>
      <c r="C62" s="75" t="str">
        <f>+'Pricing Turkey'!C44</f>
        <v>AUTRES</v>
      </c>
      <c r="D62" s="75" t="str">
        <f>+'Pricing Turkey'!D44</f>
        <v>Pc</v>
      </c>
      <c r="E62" s="75">
        <f>+'Pricing Turkey'!E44</f>
        <v>2</v>
      </c>
      <c r="F62" s="75" t="str">
        <f>+'Pricing Turkey'!F44</f>
        <v>N</v>
      </c>
      <c r="G62" s="123">
        <f>'Pricing Turkey'!G44*G$7</f>
        <v>66.64</v>
      </c>
      <c r="H62" s="123">
        <f t="shared" si="9"/>
        <v>13.4946</v>
      </c>
      <c r="I62" s="147">
        <f t="shared" si="5"/>
        <v>7.0438479999999997</v>
      </c>
      <c r="J62" s="123">
        <f t="shared" si="10"/>
        <v>12.151137422293333</v>
      </c>
      <c r="K62" s="123">
        <f t="shared" si="11"/>
        <v>4.6648000000000005</v>
      </c>
      <c r="L62" s="123">
        <f t="shared" si="12"/>
        <v>16.66</v>
      </c>
      <c r="M62" s="132">
        <f t="shared" si="6"/>
        <v>102.91681671114668</v>
      </c>
      <c r="N62" s="132">
        <f t="shared" si="13"/>
        <v>109.58081671114667</v>
      </c>
      <c r="O62" s="132">
        <f t="shared" si="14"/>
        <v>120.65438542229333</v>
      </c>
      <c r="P62" s="129"/>
      <c r="Q62" s="129"/>
      <c r="R62" s="129"/>
      <c r="S62" s="129"/>
      <c r="T62" s="133"/>
      <c r="U62" s="125"/>
      <c r="V62" s="126"/>
      <c r="W62" s="126"/>
      <c r="X62" s="126"/>
      <c r="Y62" s="132"/>
      <c r="Z62" s="132"/>
    </row>
    <row r="63" spans="1:26" s="120" customFormat="1" ht="21" customHeight="1" x14ac:dyDescent="0.25">
      <c r="A63" s="1" t="str">
        <f>+'Pricing Turkey'!A45</f>
        <v>IT.10</v>
      </c>
      <c r="B63" s="75" t="str">
        <f>+'Pricing Turkey'!B45</f>
        <v>MOTEUR AKİŞ VOLPİ GEARLESS 3,9KW MAX4 MAX6 240*5*6,5MM 1,0M/S VVVF +ENCODEUR</v>
      </c>
      <c r="C63" s="75" t="str">
        <f>+'Pricing Turkey'!C45</f>
        <v>MOTEUR</v>
      </c>
      <c r="D63" s="75" t="str">
        <f>+'Pricing Turkey'!D45</f>
        <v>Pc</v>
      </c>
      <c r="E63" s="75">
        <f>+'Pricing Turkey'!E45</f>
        <v>180</v>
      </c>
      <c r="F63" s="75" t="str">
        <f>+'Pricing Turkey'!F45</f>
        <v>N</v>
      </c>
      <c r="G63" s="123">
        <f>'Pricing Turkey'!G45*G$7</f>
        <v>9996</v>
      </c>
      <c r="H63" s="123">
        <f t="shared" si="9"/>
        <v>2024.19</v>
      </c>
      <c r="I63" s="147">
        <f t="shared" si="5"/>
        <v>1056.5771999999999</v>
      </c>
      <c r="J63" s="123">
        <f t="shared" si="10"/>
        <v>1832.5960016000001</v>
      </c>
      <c r="K63" s="123">
        <f t="shared" si="11"/>
        <v>699.72</v>
      </c>
      <c r="L63" s="123">
        <f t="shared" si="12"/>
        <v>2499</v>
      </c>
      <c r="M63" s="132">
        <f t="shared" si="6"/>
        <v>15442.4852008</v>
      </c>
      <c r="N63" s="132">
        <f t="shared" si="13"/>
        <v>16442.0852008</v>
      </c>
      <c r="O63" s="132">
        <f t="shared" si="14"/>
        <v>18108.083201599999</v>
      </c>
      <c r="P63" s="129"/>
      <c r="Q63" s="129"/>
      <c r="R63" s="129"/>
      <c r="S63" s="129"/>
      <c r="T63" s="133"/>
      <c r="U63" s="125"/>
      <c r="V63" s="126"/>
      <c r="W63" s="126"/>
      <c r="X63" s="126"/>
      <c r="Y63" s="132"/>
      <c r="Z63" s="132"/>
    </row>
    <row r="64" spans="1:26" s="120" customFormat="1" ht="21" customHeight="1" x14ac:dyDescent="0.25">
      <c r="A64" s="1" t="str">
        <f>+'Pricing Turkey'!A46</f>
        <v>IT.11</v>
      </c>
      <c r="B64" s="75" t="str">
        <f>+'Pricing Turkey'!B46</f>
        <v>MOTEUR AKİŞ VOLPİ GEARLESS 4,9KW MAX8 MAX10 240*7*6,5MM 1,0M/S VVVF +ENCODEUR</v>
      </c>
      <c r="C64" s="75" t="str">
        <f>+'Pricing Turkey'!C46</f>
        <v>MOTEUR</v>
      </c>
      <c r="D64" s="75" t="str">
        <f>+'Pricing Turkey'!D46</f>
        <v>Pc</v>
      </c>
      <c r="E64" s="75">
        <f>+'Pricing Turkey'!E46</f>
        <v>240</v>
      </c>
      <c r="F64" s="75" t="str">
        <f>+'Pricing Turkey'!F46</f>
        <v>N</v>
      </c>
      <c r="G64" s="123">
        <f>'Pricing Turkey'!G46*G$7</f>
        <v>10574.2</v>
      </c>
      <c r="H64" s="123">
        <f t="shared" si="9"/>
        <v>2141.2755000000002</v>
      </c>
      <c r="I64" s="147">
        <f t="shared" si="5"/>
        <v>1117.6929399999999</v>
      </c>
      <c r="J64" s="123">
        <f t="shared" si="10"/>
        <v>1939.2105038973336</v>
      </c>
      <c r="K64" s="123">
        <f t="shared" si="11"/>
        <v>740.19400000000007</v>
      </c>
      <c r="L64" s="123">
        <f t="shared" si="12"/>
        <v>2643.55</v>
      </c>
      <c r="M64" s="132">
        <f t="shared" si="6"/>
        <v>16336.032691948669</v>
      </c>
      <c r="N64" s="132">
        <f t="shared" si="13"/>
        <v>17393.452691948667</v>
      </c>
      <c r="O64" s="132">
        <f t="shared" si="14"/>
        <v>19156.122943897335</v>
      </c>
      <c r="P64" s="129"/>
      <c r="Q64" s="129"/>
      <c r="R64" s="129"/>
      <c r="S64" s="129"/>
      <c r="T64" s="133"/>
      <c r="U64" s="125"/>
      <c r="V64" s="126"/>
      <c r="W64" s="126"/>
      <c r="X64" s="126"/>
      <c r="Y64" s="132"/>
      <c r="Z64" s="132"/>
    </row>
    <row r="65" spans="1:28" s="120" customFormat="1" ht="21" customHeight="1" x14ac:dyDescent="0.25">
      <c r="A65" s="1" t="str">
        <f>+'Pricing Turkey'!A47</f>
        <v>IT.12</v>
      </c>
      <c r="B65" s="75" t="str">
        <f>+'Pricing Turkey'!B47</f>
        <v>MOTEUR AKİŞ 2V MAX4 MAX6</v>
      </c>
      <c r="C65" s="75" t="str">
        <f>+'Pricing Turkey'!C47</f>
        <v>MOTEUR</v>
      </c>
      <c r="D65" s="75" t="str">
        <f>+'Pricing Turkey'!D47</f>
        <v>Pc</v>
      </c>
      <c r="E65" s="75">
        <f>+'Pricing Turkey'!E47</f>
        <v>320</v>
      </c>
      <c r="F65" s="75" t="str">
        <f>+'Pricing Turkey'!F47</f>
        <v>N</v>
      </c>
      <c r="G65" s="123">
        <f>'Pricing Turkey'!G47*G$7</f>
        <v>9800</v>
      </c>
      <c r="H65" s="123">
        <f t="shared" si="9"/>
        <v>1984.5000000000002</v>
      </c>
      <c r="I65" s="147">
        <f t="shared" si="5"/>
        <v>1035.8599999999999</v>
      </c>
      <c r="J65" s="123">
        <f t="shared" si="10"/>
        <v>1796.4706666666666</v>
      </c>
      <c r="K65" s="123">
        <f t="shared" si="11"/>
        <v>686.00000000000011</v>
      </c>
      <c r="L65" s="123">
        <f t="shared" si="12"/>
        <v>2450</v>
      </c>
      <c r="M65" s="132">
        <f t="shared" si="6"/>
        <v>15139.595333333335</v>
      </c>
      <c r="N65" s="132">
        <f t="shared" si="13"/>
        <v>16119.595333333335</v>
      </c>
      <c r="O65" s="132">
        <f t="shared" si="14"/>
        <v>17752.830666666669</v>
      </c>
      <c r="P65" s="129"/>
      <c r="Q65" s="129"/>
      <c r="R65" s="129"/>
      <c r="S65" s="129"/>
      <c r="T65" s="133"/>
      <c r="U65" s="125"/>
      <c r="V65" s="126"/>
      <c r="W65" s="126"/>
      <c r="X65" s="126"/>
      <c r="Y65" s="132"/>
      <c r="Z65" s="132"/>
    </row>
    <row r="66" spans="1:28" s="120" customFormat="1" ht="21" customHeight="1" x14ac:dyDescent="0.25">
      <c r="A66" s="1" t="str">
        <f>+'Pricing Turkey'!A48</f>
        <v>IT.13</v>
      </c>
      <c r="B66" s="75" t="str">
        <f>+'Pricing Turkey'!B48</f>
        <v>MOTEUR AKİŞ 2V MAX8</v>
      </c>
      <c r="C66" s="75" t="str">
        <f>+'Pricing Turkey'!C48</f>
        <v>MOTEUR</v>
      </c>
      <c r="D66" s="75" t="str">
        <f>+'Pricing Turkey'!D48</f>
        <v>Pc</v>
      </c>
      <c r="E66" s="75">
        <f>+'Pricing Turkey'!E48</f>
        <v>380</v>
      </c>
      <c r="F66" s="75" t="str">
        <f>+'Pricing Turkey'!F48</f>
        <v>N</v>
      </c>
      <c r="G66" s="123">
        <f>'Pricing Turkey'!G48*G$7</f>
        <v>10486</v>
      </c>
      <c r="H66" s="123">
        <f t="shared" si="9"/>
        <v>2123.415</v>
      </c>
      <c r="I66" s="147">
        <f t="shared" si="5"/>
        <v>1108.3701999999998</v>
      </c>
      <c r="J66" s="123">
        <f t="shared" si="10"/>
        <v>1922.9429529333333</v>
      </c>
      <c r="K66" s="123">
        <f t="shared" si="11"/>
        <v>734.0200000000001</v>
      </c>
      <c r="L66" s="123">
        <f t="shared" si="12"/>
        <v>2621.5</v>
      </c>
      <c r="M66" s="132">
        <f t="shared" si="6"/>
        <v>16199.726676466667</v>
      </c>
      <c r="N66" s="132">
        <f t="shared" si="13"/>
        <v>17248.326676466666</v>
      </c>
      <c r="O66" s="132">
        <f t="shared" si="14"/>
        <v>18996.248152933334</v>
      </c>
      <c r="P66" s="129"/>
      <c r="Q66" s="129"/>
      <c r="R66" s="129"/>
      <c r="S66" s="129"/>
      <c r="T66" s="133"/>
      <c r="U66" s="125"/>
      <c r="V66" s="126"/>
      <c r="W66" s="126"/>
      <c r="X66" s="126"/>
      <c r="Y66" s="132"/>
      <c r="Z66" s="132"/>
    </row>
    <row r="67" spans="1:28" s="120" customFormat="1" ht="21" customHeight="1" x14ac:dyDescent="0.25">
      <c r="A67" s="1" t="str">
        <f>+'Pricing Turkey'!A49</f>
        <v>IT.14</v>
      </c>
      <c r="B67" s="75" t="str">
        <f>+'Pricing Turkey'!B49</f>
        <v>CLASSIC BRACKET 60X60 (PATE)</v>
      </c>
      <c r="C67" s="75" t="str">
        <f>+'Pricing Turkey'!C49</f>
        <v>RAILS &amp; ACCESSOIRES</v>
      </c>
      <c r="D67" s="75" t="str">
        <f>+'Pricing Turkey'!D49</f>
        <v>Pc</v>
      </c>
      <c r="E67" s="75">
        <f>+'Pricing Turkey'!E49</f>
        <v>0.5</v>
      </c>
      <c r="F67" s="75" t="str">
        <f>+'Pricing Turkey'!F49</f>
        <v>STEEL</v>
      </c>
      <c r="G67" s="123">
        <f>'Pricing Turkey'!G49*G$7</f>
        <v>5.88</v>
      </c>
      <c r="H67" s="123">
        <f t="shared" si="9"/>
        <v>1.3162500000000001</v>
      </c>
      <c r="I67" s="147">
        <f t="shared" si="5"/>
        <v>0.62151599999999996</v>
      </c>
      <c r="J67" s="123">
        <f t="shared" si="10"/>
        <v>1.0721234574399998</v>
      </c>
      <c r="K67" s="123">
        <f t="shared" si="11"/>
        <v>0.41160000000000002</v>
      </c>
      <c r="L67" s="123">
        <f t="shared" si="12"/>
        <v>1.47</v>
      </c>
      <c r="M67" s="132">
        <f t="shared" si="6"/>
        <v>9.2064277287199996</v>
      </c>
      <c r="N67" s="132">
        <f t="shared" si="13"/>
        <v>9.7944277287199988</v>
      </c>
      <c r="O67" s="132">
        <f t="shared" si="14"/>
        <v>10.77148945744</v>
      </c>
      <c r="P67" s="129"/>
      <c r="Q67" s="129"/>
      <c r="R67" s="129"/>
      <c r="S67" s="129"/>
      <c r="T67" s="133"/>
      <c r="U67" s="125"/>
      <c r="V67" s="126"/>
      <c r="W67" s="126"/>
      <c r="X67" s="126"/>
      <c r="Y67" s="132"/>
      <c r="Z67" s="132"/>
      <c r="AB67" s="120" t="s">
        <v>347</v>
      </c>
    </row>
    <row r="68" spans="1:28" s="120" customFormat="1" ht="21" customHeight="1" x14ac:dyDescent="0.25">
      <c r="A68" s="1" t="str">
        <f>+'Pricing Turkey'!A50</f>
        <v>IT.15</v>
      </c>
      <c r="B68" s="75" t="str">
        <f>+'Pricing Turkey'!B50</f>
        <v>CLASSIC BRACKET 60X80  (PATE)</v>
      </c>
      <c r="C68" s="75" t="str">
        <f>+'Pricing Turkey'!C50</f>
        <v>RAILS &amp; ACCESSOIRES</v>
      </c>
      <c r="D68" s="75" t="str">
        <f>+'Pricing Turkey'!D50</f>
        <v>Pc</v>
      </c>
      <c r="E68" s="75">
        <f>+'Pricing Turkey'!E50</f>
        <v>0.65</v>
      </c>
      <c r="F68" s="75" t="str">
        <f>+'Pricing Turkey'!F50</f>
        <v>STEEL</v>
      </c>
      <c r="G68" s="123">
        <f>'Pricing Turkey'!G50*G$7</f>
        <v>8.82</v>
      </c>
      <c r="H68" s="123">
        <f t="shared" si="9"/>
        <v>1.7860500000000001</v>
      </c>
      <c r="I68" s="147">
        <f t="shared" si="5"/>
        <v>0.93227399999999994</v>
      </c>
      <c r="J68" s="123">
        <f t="shared" si="10"/>
        <v>1.6081877792399999</v>
      </c>
      <c r="K68" s="123">
        <f t="shared" si="11"/>
        <v>0.61740000000000006</v>
      </c>
      <c r="L68" s="123">
        <f t="shared" si="12"/>
        <v>2.2050000000000001</v>
      </c>
      <c r="M68" s="132">
        <f t="shared" si="6"/>
        <v>13.62131788962</v>
      </c>
      <c r="N68" s="132">
        <f t="shared" si="13"/>
        <v>14.50331788962</v>
      </c>
      <c r="O68" s="132">
        <f t="shared" si="14"/>
        <v>15.968911779239999</v>
      </c>
      <c r="P68" s="129"/>
      <c r="Q68" s="129"/>
      <c r="R68" s="129"/>
      <c r="S68" s="129"/>
      <c r="T68" s="133"/>
      <c r="U68" s="125"/>
      <c r="V68" s="126"/>
      <c r="W68" s="126"/>
      <c r="X68" s="126"/>
      <c r="Y68" s="132"/>
      <c r="Z68" s="132"/>
    </row>
    <row r="69" spans="1:28" s="120" customFormat="1" ht="21" customHeight="1" x14ac:dyDescent="0.25">
      <c r="A69" s="1" t="str">
        <f>+'Pricing Turkey'!A51</f>
        <v>IT.16</v>
      </c>
      <c r="B69" s="75" t="str">
        <f>+'Pricing Turkey'!B51</f>
        <v>CROMPO 50</v>
      </c>
      <c r="C69" s="75" t="str">
        <f>+'Pricing Turkey'!C51</f>
        <v>RAILS &amp; ACCESSOIRES</v>
      </c>
      <c r="D69" s="75" t="str">
        <f>+'Pricing Turkey'!D51</f>
        <v>Pc</v>
      </c>
      <c r="E69" s="75">
        <f>+'Pricing Turkey'!E51</f>
        <v>0.11</v>
      </c>
      <c r="F69" s="75" t="str">
        <f>+'Pricing Turkey'!F51</f>
        <v>GALVA</v>
      </c>
      <c r="G69" s="123">
        <f>'Pricing Turkey'!G51*G$7</f>
        <v>2.7440000000000007</v>
      </c>
      <c r="H69" s="123">
        <f t="shared" si="9"/>
        <v>0.55566000000000015</v>
      </c>
      <c r="I69" s="147">
        <f t="shared" si="5"/>
        <v>0.29004080000000004</v>
      </c>
      <c r="J69" s="123">
        <f t="shared" si="10"/>
        <v>0.50032341962026683</v>
      </c>
      <c r="K69" s="123">
        <f t="shared" si="11"/>
        <v>0.19208000000000006</v>
      </c>
      <c r="L69" s="123">
        <f t="shared" si="12"/>
        <v>0.68600000000000017</v>
      </c>
      <c r="M69" s="132">
        <f t="shared" si="6"/>
        <v>4.2377425098101336</v>
      </c>
      <c r="N69" s="132">
        <f t="shared" si="13"/>
        <v>4.5121425098101335</v>
      </c>
      <c r="O69" s="132">
        <f t="shared" si="14"/>
        <v>4.968104219620268</v>
      </c>
      <c r="P69" s="129"/>
      <c r="Q69" s="129"/>
      <c r="R69" s="129"/>
      <c r="S69" s="129"/>
      <c r="T69" s="133"/>
      <c r="U69" s="125"/>
      <c r="V69" s="126"/>
      <c r="W69" s="126"/>
      <c r="X69" s="126"/>
      <c r="Y69" s="132"/>
      <c r="Z69" s="132"/>
    </row>
    <row r="70" spans="1:28" s="120" customFormat="1" ht="21" customHeight="1" x14ac:dyDescent="0.25">
      <c r="A70" s="1" t="str">
        <f>+'Pricing Turkey'!A52</f>
        <v>IT.17</v>
      </c>
      <c r="B70" s="75" t="str">
        <f>+'Pricing Turkey'!B52</f>
        <v>CROMPO 70</v>
      </c>
      <c r="C70" s="75" t="str">
        <f>+'Pricing Turkey'!C52</f>
        <v>RAILS &amp; ACCESSOIRES</v>
      </c>
      <c r="D70" s="75" t="str">
        <f>+'Pricing Turkey'!D52</f>
        <v>Pc</v>
      </c>
      <c r="E70" s="75">
        <f>+'Pricing Turkey'!E52</f>
        <v>0.12</v>
      </c>
      <c r="F70" s="75" t="str">
        <f>+'Pricing Turkey'!F52</f>
        <v>GALVA</v>
      </c>
      <c r="G70" s="123">
        <f>'Pricing Turkey'!G52*G$7</f>
        <v>3.6260000000000003</v>
      </c>
      <c r="H70" s="123">
        <f t="shared" si="9"/>
        <v>0.73426500000000017</v>
      </c>
      <c r="I70" s="147">
        <f t="shared" si="5"/>
        <v>0.3832682</v>
      </c>
      <c r="J70" s="123">
        <f t="shared" si="10"/>
        <v>0.66114198145426673</v>
      </c>
      <c r="K70" s="123">
        <f t="shared" si="11"/>
        <v>0.25382000000000005</v>
      </c>
      <c r="L70" s="123">
        <f t="shared" si="12"/>
        <v>0.90650000000000008</v>
      </c>
      <c r="M70" s="132">
        <f t="shared" si="6"/>
        <v>5.5998741907271334</v>
      </c>
      <c r="N70" s="132">
        <f t="shared" si="13"/>
        <v>5.962474190727133</v>
      </c>
      <c r="O70" s="132">
        <f t="shared" si="14"/>
        <v>6.5649951814542673</v>
      </c>
      <c r="P70" s="129"/>
      <c r="Q70" s="129"/>
      <c r="R70" s="129"/>
      <c r="S70" s="129"/>
      <c r="T70" s="133"/>
      <c r="U70" s="125"/>
      <c r="V70" s="126"/>
      <c r="W70" s="126"/>
      <c r="X70" s="126"/>
      <c r="Y70" s="132"/>
      <c r="Z70" s="132"/>
    </row>
    <row r="71" spans="1:28" s="120" customFormat="1" ht="21" customHeight="1" x14ac:dyDescent="0.25">
      <c r="A71" s="1" t="str">
        <f>+'Pricing Turkey'!A53</f>
        <v>IT.18</v>
      </c>
      <c r="B71" s="75" t="str">
        <f>+'Pricing Turkey'!B53</f>
        <v>SET BRACKET U</v>
      </c>
      <c r="C71" s="75" t="str">
        <f>+'Pricing Turkey'!C53</f>
        <v>RAILS &amp; ACCESSOIRES</v>
      </c>
      <c r="D71" s="75" t="str">
        <f>+'Pricing Turkey'!D53</f>
        <v>SET</v>
      </c>
      <c r="E71" s="75">
        <f>+'Pricing Turkey'!E53</f>
        <v>30</v>
      </c>
      <c r="F71" s="75" t="str">
        <f>+'Pricing Turkey'!F53</f>
        <v>GALVA</v>
      </c>
      <c r="G71" s="123">
        <f>'Pricing Turkey'!G53*G$7</f>
        <v>343</v>
      </c>
      <c r="H71" s="123">
        <f t="shared" si="9"/>
        <v>145.80000000000001</v>
      </c>
      <c r="I71" s="147">
        <f t="shared" si="5"/>
        <v>36.255099999999999</v>
      </c>
      <c r="J71" s="123">
        <f t="shared" si="10"/>
        <v>62.552098233333332</v>
      </c>
      <c r="K71" s="123">
        <f t="shared" si="11"/>
        <v>24.01</v>
      </c>
      <c r="L71" s="123">
        <f t="shared" si="12"/>
        <v>85.75</v>
      </c>
      <c r="M71" s="132">
        <f t="shared" si="6"/>
        <v>606.06614911666668</v>
      </c>
      <c r="N71" s="132">
        <f t="shared" si="13"/>
        <v>640.36614911666663</v>
      </c>
      <c r="O71" s="132">
        <f t="shared" si="14"/>
        <v>697.36719823333328</v>
      </c>
      <c r="P71" s="129"/>
      <c r="Q71" s="129"/>
      <c r="R71" s="129"/>
      <c r="S71" s="129"/>
      <c r="T71" s="133"/>
      <c r="U71" s="125"/>
      <c r="V71" s="126"/>
      <c r="W71" s="126"/>
      <c r="X71" s="126"/>
      <c r="Y71" s="132"/>
      <c r="Z71" s="132"/>
    </row>
    <row r="72" spans="1:28" s="120" customFormat="1" ht="21" customHeight="1" x14ac:dyDescent="0.25">
      <c r="A72" s="1" t="str">
        <f>+'Pricing Turkey'!A54</f>
        <v>IT.19</v>
      </c>
      <c r="B72" s="75" t="str">
        <f>+'Pricing Turkey'!B54</f>
        <v>CROMPO 90</v>
      </c>
      <c r="C72" s="75" t="str">
        <f>+'Pricing Turkey'!C54</f>
        <v>RAILS &amp; ACCESSOIRES</v>
      </c>
      <c r="D72" s="75" t="str">
        <f>+'Pricing Turkey'!D54</f>
        <v>Pc</v>
      </c>
      <c r="E72" s="75">
        <f>+'Pricing Turkey'!E54</f>
        <v>0.17</v>
      </c>
      <c r="F72" s="75" t="str">
        <f>+'Pricing Turkey'!F54</f>
        <v>GALVA</v>
      </c>
      <c r="G72" s="123">
        <f>'Pricing Turkey'!G54*G$7</f>
        <v>4.6059999999999999</v>
      </c>
      <c r="H72" s="123">
        <f t="shared" si="9"/>
        <v>0.93271500000000007</v>
      </c>
      <c r="I72" s="147">
        <f t="shared" si="5"/>
        <v>0.48685419999999996</v>
      </c>
      <c r="J72" s="123">
        <f t="shared" si="10"/>
        <v>0.83982945485693339</v>
      </c>
      <c r="K72" s="123">
        <f t="shared" si="11"/>
        <v>0.32242000000000004</v>
      </c>
      <c r="L72" s="123">
        <f t="shared" si="12"/>
        <v>1.1515</v>
      </c>
      <c r="M72" s="132">
        <f t="shared" si="6"/>
        <v>7.1133539274284656</v>
      </c>
      <c r="N72" s="132">
        <f t="shared" si="13"/>
        <v>7.573953927428466</v>
      </c>
      <c r="O72" s="132">
        <f t="shared" si="14"/>
        <v>8.3393186548569336</v>
      </c>
      <c r="P72" s="129"/>
      <c r="Q72" s="129"/>
      <c r="R72" s="129"/>
      <c r="S72" s="129"/>
      <c r="T72" s="133"/>
      <c r="U72" s="125"/>
      <c r="V72" s="126"/>
      <c r="W72" s="126"/>
      <c r="X72" s="126"/>
      <c r="Y72" s="132"/>
      <c r="Z72" s="132"/>
    </row>
    <row r="73" spans="1:28" s="120" customFormat="1" ht="21" customHeight="1" x14ac:dyDescent="0.25">
      <c r="A73" s="1" t="str">
        <f>+'Pricing Turkey'!A55</f>
        <v>IT.20</v>
      </c>
      <c r="B73" s="75" t="str">
        <f>+'Pricing Turkey'!B55</f>
        <v>SET BRACKET TYPE L</v>
      </c>
      <c r="C73" s="75" t="str">
        <f>+'Pricing Turkey'!C55</f>
        <v>RAILS &amp; ACCESSOIRES</v>
      </c>
      <c r="D73" s="75" t="str">
        <f>+'Pricing Turkey'!D55</f>
        <v>SET</v>
      </c>
      <c r="E73" s="75">
        <f>+'Pricing Turkey'!E55</f>
        <v>30</v>
      </c>
      <c r="F73" s="75" t="str">
        <f>+'Pricing Turkey'!F55</f>
        <v>GALVA</v>
      </c>
      <c r="G73" s="123">
        <f>'Pricing Turkey'!G55*G$7</f>
        <v>490.00000000000006</v>
      </c>
      <c r="H73" s="123">
        <f t="shared" si="9"/>
        <v>145.80000000000001</v>
      </c>
      <c r="I73" s="147">
        <f t="shared" si="5"/>
        <v>51.792999999999999</v>
      </c>
      <c r="J73" s="123">
        <f t="shared" si="10"/>
        <v>89.367343333333338</v>
      </c>
      <c r="K73" s="123">
        <f t="shared" si="11"/>
        <v>34.300000000000004</v>
      </c>
      <c r="L73" s="123">
        <f t="shared" si="12"/>
        <v>122.50000000000001</v>
      </c>
      <c r="M73" s="132">
        <f t="shared" si="6"/>
        <v>803.3266716666667</v>
      </c>
      <c r="N73" s="132">
        <f t="shared" si="13"/>
        <v>852.3266716666667</v>
      </c>
      <c r="O73" s="132">
        <f t="shared" si="14"/>
        <v>933.76034333333337</v>
      </c>
      <c r="P73" s="129"/>
      <c r="Q73" s="129"/>
      <c r="R73" s="129"/>
      <c r="S73" s="129"/>
      <c r="T73" s="133"/>
      <c r="U73" s="125"/>
      <c r="V73" s="126"/>
      <c r="W73" s="126"/>
      <c r="X73" s="126"/>
      <c r="Y73" s="132"/>
      <c r="Z73" s="132"/>
    </row>
    <row r="74" spans="1:28" s="120" customFormat="1" ht="21" customHeight="1" x14ac:dyDescent="0.25">
      <c r="A74" s="1" t="str">
        <f>+'Pricing Turkey'!A56</f>
        <v>IT.21</v>
      </c>
      <c r="B74" s="75" t="str">
        <f>+'Pricing Turkey'!B56</f>
        <v>BOULON 8/30</v>
      </c>
      <c r="C74" s="75" t="str">
        <f>+'Pricing Turkey'!C56</f>
        <v>RAILS &amp; ACCESSOIRES</v>
      </c>
      <c r="D74" s="75" t="str">
        <f>+'Pricing Turkey'!D56</f>
        <v>Pc</v>
      </c>
      <c r="E74" s="75">
        <f>+'Pricing Turkey'!E56</f>
        <v>0.02</v>
      </c>
      <c r="F74" s="75" t="str">
        <f>+'Pricing Turkey'!F56</f>
        <v>GALVA</v>
      </c>
      <c r="G74" s="123">
        <f>'Pricing Turkey'!G56*G$7</f>
        <v>0.68600000000000017</v>
      </c>
      <c r="H74" s="123">
        <f t="shared" si="9"/>
        <v>0.13891500000000004</v>
      </c>
      <c r="I74" s="147">
        <f t="shared" si="5"/>
        <v>7.2510200000000011E-2</v>
      </c>
      <c r="J74" s="123">
        <f t="shared" si="10"/>
        <v>0.1250807137262667</v>
      </c>
      <c r="K74" s="123">
        <f t="shared" si="11"/>
        <v>4.8020000000000014E-2</v>
      </c>
      <c r="L74" s="123">
        <f t="shared" si="12"/>
        <v>0.17150000000000004</v>
      </c>
      <c r="M74" s="132">
        <f t="shared" si="6"/>
        <v>1.0594355568631335</v>
      </c>
      <c r="N74" s="132">
        <f t="shared" si="13"/>
        <v>1.1280355568631335</v>
      </c>
      <c r="O74" s="132">
        <f t="shared" si="14"/>
        <v>1.242025913726267</v>
      </c>
      <c r="P74" s="129"/>
      <c r="Q74" s="129"/>
      <c r="R74" s="129"/>
      <c r="S74" s="129"/>
      <c r="T74" s="133"/>
      <c r="U74" s="125"/>
      <c r="V74" s="126"/>
      <c r="W74" s="126"/>
      <c r="X74" s="126"/>
      <c r="Y74" s="132"/>
      <c r="Z74" s="132"/>
    </row>
    <row r="75" spans="1:28" s="120" customFormat="1" ht="21" customHeight="1" x14ac:dyDescent="0.25">
      <c r="A75" s="1" t="str">
        <f>+'Pricing Turkey'!A57</f>
        <v>IT.22</v>
      </c>
      <c r="B75" s="75" t="str">
        <f>+'Pricing Turkey'!B57</f>
        <v>BOULON 12/25</v>
      </c>
      <c r="C75" s="75" t="str">
        <f>+'Pricing Turkey'!C57</f>
        <v>RAILS &amp; ACCESSOIRES</v>
      </c>
      <c r="D75" s="75" t="str">
        <f>+'Pricing Turkey'!D57</f>
        <v>Pc</v>
      </c>
      <c r="E75" s="75">
        <f>+'Pricing Turkey'!E57</f>
        <v>0.04</v>
      </c>
      <c r="F75" s="75" t="str">
        <f>+'Pricing Turkey'!F57</f>
        <v>GALVA</v>
      </c>
      <c r="G75" s="123">
        <f>'Pricing Turkey'!G57*G$7</f>
        <v>1.764</v>
      </c>
      <c r="H75" s="123">
        <f t="shared" si="9"/>
        <v>0.35721000000000003</v>
      </c>
      <c r="I75" s="147">
        <f t="shared" si="5"/>
        <v>0.18645479999999998</v>
      </c>
      <c r="J75" s="123">
        <f t="shared" si="10"/>
        <v>0.32163631116960001</v>
      </c>
      <c r="K75" s="123">
        <f t="shared" si="11"/>
        <v>0.12348000000000001</v>
      </c>
      <c r="L75" s="123">
        <f t="shared" si="12"/>
        <v>0.441</v>
      </c>
      <c r="M75" s="132">
        <f t="shared" si="6"/>
        <v>2.7242629555847997</v>
      </c>
      <c r="N75" s="132">
        <f t="shared" si="13"/>
        <v>2.9006629555847998</v>
      </c>
      <c r="O75" s="132">
        <f t="shared" si="14"/>
        <v>3.1937811111696002</v>
      </c>
      <c r="P75" s="129"/>
      <c r="Q75" s="129"/>
      <c r="R75" s="129"/>
      <c r="S75" s="129"/>
      <c r="T75" s="133"/>
      <c r="U75" s="125"/>
      <c r="V75" s="126"/>
      <c r="W75" s="126"/>
      <c r="X75" s="126"/>
      <c r="Y75" s="132"/>
      <c r="Z75" s="132"/>
    </row>
    <row r="76" spans="1:28" s="120" customFormat="1" ht="21" customHeight="1" x14ac:dyDescent="0.25">
      <c r="A76" s="1" t="str">
        <f>+'Pricing Turkey'!A58</f>
        <v>IT.23</v>
      </c>
      <c r="B76" s="75" t="str">
        <f>+'Pricing Turkey'!B58</f>
        <v>BOULON 12/40</v>
      </c>
      <c r="C76" s="75" t="str">
        <f>+'Pricing Turkey'!C58</f>
        <v>RAILS &amp; ACCESSOIRES</v>
      </c>
      <c r="D76" s="75" t="str">
        <f>+'Pricing Turkey'!D58</f>
        <v>Pc</v>
      </c>
      <c r="E76" s="75">
        <f>+'Pricing Turkey'!E58</f>
        <v>0.05</v>
      </c>
      <c r="F76" s="75" t="str">
        <f>+'Pricing Turkey'!F58</f>
        <v>GALVA</v>
      </c>
      <c r="G76" s="123">
        <f>'Pricing Turkey'!G58*G$7</f>
        <v>1.9600000000000002</v>
      </c>
      <c r="H76" s="123">
        <f t="shared" si="9"/>
        <v>0.39690000000000009</v>
      </c>
      <c r="I76" s="147">
        <f t="shared" si="5"/>
        <v>0.207172</v>
      </c>
      <c r="J76" s="123">
        <f t="shared" si="10"/>
        <v>0.35737371749333335</v>
      </c>
      <c r="K76" s="123">
        <f t="shared" si="11"/>
        <v>0.13720000000000002</v>
      </c>
      <c r="L76" s="123">
        <f t="shared" si="12"/>
        <v>0.49000000000000005</v>
      </c>
      <c r="M76" s="132">
        <f t="shared" si="6"/>
        <v>3.0269588587466671</v>
      </c>
      <c r="N76" s="132">
        <f t="shared" si="13"/>
        <v>3.2229588587466669</v>
      </c>
      <c r="O76" s="132">
        <f t="shared" si="14"/>
        <v>3.5486457174933337</v>
      </c>
      <c r="P76" s="129"/>
      <c r="Q76" s="129"/>
      <c r="R76" s="129"/>
      <c r="S76" s="129"/>
      <c r="T76" s="133"/>
      <c r="U76" s="125"/>
      <c r="V76" s="126"/>
      <c r="W76" s="126"/>
      <c r="X76" s="126"/>
      <c r="Y76" s="132"/>
      <c r="Z76" s="132"/>
    </row>
    <row r="77" spans="1:28" s="120" customFormat="1" ht="21" customHeight="1" x14ac:dyDescent="0.25">
      <c r="A77" s="1" t="str">
        <f>+'Pricing Turkey'!A59</f>
        <v>IT.24</v>
      </c>
      <c r="B77" s="75" t="str">
        <f>+'Pricing Turkey'!B59</f>
        <v>BOULON 14/70</v>
      </c>
      <c r="C77" s="75" t="str">
        <f>+'Pricing Turkey'!C59</f>
        <v>RAILS &amp; ACCESSOIRES</v>
      </c>
      <c r="D77" s="75" t="str">
        <f>+'Pricing Turkey'!D59</f>
        <v>Pc</v>
      </c>
      <c r="E77" s="75">
        <f>+'Pricing Turkey'!E59</f>
        <v>0</v>
      </c>
      <c r="F77" s="75" t="str">
        <f>+'Pricing Turkey'!F59</f>
        <v>GALVA</v>
      </c>
      <c r="G77" s="123">
        <f>'Pricing Turkey'!G59*G$7</f>
        <v>2.94</v>
      </c>
      <c r="H77" s="123">
        <f t="shared" si="9"/>
        <v>0.59535000000000005</v>
      </c>
      <c r="I77" s="147">
        <f t="shared" si="5"/>
        <v>0.31075799999999998</v>
      </c>
      <c r="J77" s="123">
        <f t="shared" si="10"/>
        <v>0.53606086436</v>
      </c>
      <c r="K77" s="123">
        <f t="shared" si="11"/>
        <v>0.20580000000000001</v>
      </c>
      <c r="L77" s="123">
        <f t="shared" si="12"/>
        <v>0.73499999999999999</v>
      </c>
      <c r="M77" s="132">
        <f t="shared" si="6"/>
        <v>4.5404384321800002</v>
      </c>
      <c r="N77" s="132">
        <f t="shared" si="13"/>
        <v>4.8344384321799998</v>
      </c>
      <c r="O77" s="132">
        <f t="shared" si="14"/>
        <v>5.3229688643599999</v>
      </c>
      <c r="P77" s="129"/>
      <c r="Q77" s="129"/>
      <c r="R77" s="129"/>
      <c r="S77" s="129"/>
      <c r="T77" s="133"/>
      <c r="U77" s="125"/>
      <c r="V77" s="126"/>
      <c r="W77" s="126"/>
      <c r="X77" s="126"/>
      <c r="Y77" s="132"/>
      <c r="Z77" s="132"/>
    </row>
    <row r="78" spans="1:28" s="120" customFormat="1" ht="21" customHeight="1" x14ac:dyDescent="0.25">
      <c r="A78" s="1" t="str">
        <f>+'Pricing Turkey'!A60</f>
        <v>IT.25</v>
      </c>
      <c r="B78" s="75" t="str">
        <f>+'Pricing Turkey'!B60</f>
        <v>CHEVEILLE 12/100</v>
      </c>
      <c r="C78" s="75" t="str">
        <f>+'Pricing Turkey'!C60</f>
        <v>RAILS &amp; ACCESSOIRES</v>
      </c>
      <c r="D78" s="75" t="str">
        <f>+'Pricing Turkey'!D60</f>
        <v>Pc</v>
      </c>
      <c r="E78" s="75">
        <f>+'Pricing Turkey'!E60</f>
        <v>0.09</v>
      </c>
      <c r="F78" s="75" t="str">
        <f>+'Pricing Turkey'!F60</f>
        <v>GALVA</v>
      </c>
      <c r="G78" s="123">
        <f>'Pricing Turkey'!G60*G$7</f>
        <v>2.0580000000000003</v>
      </c>
      <c r="H78" s="123">
        <f t="shared" si="9"/>
        <v>0.43740000000000007</v>
      </c>
      <c r="I78" s="147">
        <f t="shared" si="5"/>
        <v>0.21753060000000002</v>
      </c>
      <c r="J78" s="123">
        <f t="shared" si="10"/>
        <v>0.37524242353640003</v>
      </c>
      <c r="K78" s="123">
        <f t="shared" si="11"/>
        <v>0.14406000000000002</v>
      </c>
      <c r="L78" s="123">
        <f t="shared" si="12"/>
        <v>0.51450000000000007</v>
      </c>
      <c r="M78" s="132">
        <f t="shared" si="6"/>
        <v>3.1989618117682004</v>
      </c>
      <c r="N78" s="132">
        <f t="shared" si="13"/>
        <v>3.4047618117682004</v>
      </c>
      <c r="O78" s="132">
        <f t="shared" si="14"/>
        <v>3.7467330235364007</v>
      </c>
      <c r="P78" s="129"/>
      <c r="Q78" s="129"/>
      <c r="R78" s="129"/>
      <c r="S78" s="129"/>
      <c r="T78" s="133"/>
      <c r="U78" s="125"/>
      <c r="V78" s="126"/>
      <c r="W78" s="126"/>
      <c r="X78" s="126"/>
      <c r="Y78" s="132"/>
      <c r="Z78" s="132"/>
    </row>
    <row r="79" spans="1:28" s="120" customFormat="1" ht="21" customHeight="1" x14ac:dyDescent="0.25">
      <c r="A79" s="1" t="str">
        <f>+'Pricing Turkey'!A61</f>
        <v>IT.26</v>
      </c>
      <c r="B79" s="75" t="str">
        <f>+'Pricing Turkey'!B61</f>
        <v>GUIDE RAIL 50</v>
      </c>
      <c r="C79" s="75" t="str">
        <f>+'Pricing Turkey'!C61</f>
        <v>RAILS &amp; ACCESSOIRES</v>
      </c>
      <c r="D79" s="75" t="str">
        <f>+'Pricing Turkey'!D61</f>
        <v>Pc</v>
      </c>
      <c r="E79" s="75">
        <f>+'Pricing Turkey'!E61</f>
        <v>27</v>
      </c>
      <c r="F79" s="75" t="str">
        <f>+'Pricing Turkey'!F61</f>
        <v>STEEL</v>
      </c>
      <c r="G79" s="123">
        <f>'Pricing Turkey'!G61*G$7</f>
        <v>170.52</v>
      </c>
      <c r="H79" s="123">
        <f t="shared" si="9"/>
        <v>71.077500000000001</v>
      </c>
      <c r="I79" s="147">
        <f t="shared" si="5"/>
        <v>18.023963999999999</v>
      </c>
      <c r="J79" s="123">
        <f t="shared" si="10"/>
        <v>31.094387707040003</v>
      </c>
      <c r="K79" s="123">
        <f t="shared" si="11"/>
        <v>11.936400000000003</v>
      </c>
      <c r="L79" s="123">
        <f t="shared" si="12"/>
        <v>42.63</v>
      </c>
      <c r="M79" s="132">
        <f t="shared" si="6"/>
        <v>299.89405785352</v>
      </c>
      <c r="N79" s="132">
        <f t="shared" si="13"/>
        <v>316.94605785352002</v>
      </c>
      <c r="O79" s="132">
        <f t="shared" si="14"/>
        <v>345.28225170704002</v>
      </c>
      <c r="P79" s="129"/>
      <c r="Q79" s="129"/>
      <c r="R79" s="129"/>
      <c r="S79" s="129"/>
      <c r="T79" s="133"/>
      <c r="U79" s="125"/>
      <c r="V79" s="126"/>
      <c r="W79" s="126"/>
      <c r="X79" s="126"/>
      <c r="Y79" s="132"/>
      <c r="Z79" s="132"/>
    </row>
    <row r="80" spans="1:28" s="120" customFormat="1" ht="21" customHeight="1" x14ac:dyDescent="0.25">
      <c r="A80" s="1" t="str">
        <f>+'Pricing Turkey'!A62</f>
        <v>IT.27</v>
      </c>
      <c r="B80" s="75" t="str">
        <f>+'Pricing Turkey'!B62</f>
        <v>GUIDE RAIL 70</v>
      </c>
      <c r="C80" s="75" t="str">
        <f>+'Pricing Turkey'!C62</f>
        <v>RAILS &amp; ACCESSOIRES</v>
      </c>
      <c r="D80" s="75" t="str">
        <f>+'Pricing Turkey'!D62</f>
        <v>Pc</v>
      </c>
      <c r="E80" s="75">
        <f>+'Pricing Turkey'!E62</f>
        <v>51</v>
      </c>
      <c r="F80" s="75" t="str">
        <f>+'Pricing Turkey'!F62</f>
        <v>STEEL</v>
      </c>
      <c r="G80" s="123">
        <f>'Pricing Turkey'!G62*G$7</f>
        <v>339.08000000000004</v>
      </c>
      <c r="H80" s="123">
        <f t="shared" si="9"/>
        <v>134.25750000000002</v>
      </c>
      <c r="I80" s="147">
        <f t="shared" si="5"/>
        <v>35.840755999999999</v>
      </c>
      <c r="J80" s="123">
        <f t="shared" si="10"/>
        <v>61.83708419130668</v>
      </c>
      <c r="K80" s="123">
        <f t="shared" si="11"/>
        <v>23.735600000000005</v>
      </c>
      <c r="L80" s="123">
        <f t="shared" si="12"/>
        <v>84.77000000000001</v>
      </c>
      <c r="M80" s="132">
        <f t="shared" si="6"/>
        <v>589.26339809565343</v>
      </c>
      <c r="N80" s="132">
        <f t="shared" si="13"/>
        <v>623.17139809565344</v>
      </c>
      <c r="O80" s="132">
        <f t="shared" si="14"/>
        <v>679.52094019130675</v>
      </c>
      <c r="P80" s="129"/>
      <c r="Q80" s="129"/>
      <c r="R80" s="129"/>
      <c r="S80" s="129"/>
      <c r="T80" s="133"/>
      <c r="U80" s="125"/>
      <c r="V80" s="126"/>
      <c r="W80" s="126"/>
      <c r="X80" s="126"/>
      <c r="Y80" s="132"/>
      <c r="Z80" s="132"/>
    </row>
    <row r="81" spans="1:26" s="120" customFormat="1" ht="21" customHeight="1" x14ac:dyDescent="0.25">
      <c r="A81" s="1" t="str">
        <f>+'Pricing Turkey'!A63</f>
        <v>IT.28</v>
      </c>
      <c r="B81" s="75" t="str">
        <f>+'Pricing Turkey'!B63</f>
        <v>SET RAIL : 50 + 70</v>
      </c>
      <c r="C81" s="75" t="str">
        <f>+'Pricing Turkey'!C63</f>
        <v>RAILS &amp; ACCESSOIRES</v>
      </c>
      <c r="D81" s="75" t="str">
        <f>+'Pricing Turkey'!D63</f>
        <v>SET</v>
      </c>
      <c r="E81" s="75">
        <f>+'Pricing Turkey'!E63</f>
        <v>0.36</v>
      </c>
      <c r="F81" s="75" t="str">
        <f>+'Pricing Turkey'!F63</f>
        <v>STEEL</v>
      </c>
      <c r="G81" s="123">
        <f>'Pricing Turkey'!G63*G$7</f>
        <v>509.6</v>
      </c>
      <c r="H81" s="123">
        <f t="shared" si="9"/>
        <v>103.19400000000002</v>
      </c>
      <c r="I81" s="147">
        <f t="shared" si="5"/>
        <v>53.864719999999998</v>
      </c>
      <c r="J81" s="123">
        <f t="shared" si="10"/>
        <v>92.943035882666678</v>
      </c>
      <c r="K81" s="123">
        <f t="shared" si="11"/>
        <v>35.672000000000004</v>
      </c>
      <c r="L81" s="123">
        <f t="shared" si="12"/>
        <v>127.4</v>
      </c>
      <c r="M81" s="132">
        <f t="shared" si="6"/>
        <v>787.02223794133351</v>
      </c>
      <c r="N81" s="132">
        <f t="shared" si="13"/>
        <v>837.98223794133344</v>
      </c>
      <c r="O81" s="132">
        <f t="shared" si="14"/>
        <v>922.6737558826668</v>
      </c>
      <c r="P81" s="129"/>
      <c r="Q81" s="129"/>
      <c r="R81" s="129"/>
      <c r="S81" s="129"/>
      <c r="T81" s="133"/>
      <c r="U81" s="125"/>
      <c r="V81" s="126"/>
      <c r="W81" s="126"/>
      <c r="X81" s="126"/>
      <c r="Y81" s="132"/>
      <c r="Z81" s="132"/>
    </row>
    <row r="82" spans="1:26" s="120" customFormat="1" ht="21" customHeight="1" x14ac:dyDescent="0.25">
      <c r="A82" s="1" t="str">
        <f>+'Pricing Turkey'!A64</f>
        <v>IT.29</v>
      </c>
      <c r="B82" s="75" t="str">
        <f>+'Pricing Turkey'!B64</f>
        <v>GUIDE RAIL 90</v>
      </c>
      <c r="C82" s="75" t="str">
        <f>+'Pricing Turkey'!C64</f>
        <v>RAILS &amp; ACCESSOIRES</v>
      </c>
      <c r="D82" s="75" t="str">
        <f>+'Pricing Turkey'!D64</f>
        <v>Pc</v>
      </c>
      <c r="E82" s="75">
        <f>+'Pricing Turkey'!E64</f>
        <v>0</v>
      </c>
      <c r="F82" s="75" t="str">
        <f>+'Pricing Turkey'!F64</f>
        <v>STEEL</v>
      </c>
      <c r="G82" s="123">
        <f>'Pricing Turkey'!G64*G$7</f>
        <v>637</v>
      </c>
      <c r="H82" s="123">
        <f t="shared" si="9"/>
        <v>128.99250000000001</v>
      </c>
      <c r="I82" s="147">
        <f t="shared" si="5"/>
        <v>67.330899999999986</v>
      </c>
      <c r="J82" s="123">
        <f t="shared" si="10"/>
        <v>116.18691023333334</v>
      </c>
      <c r="K82" s="123">
        <f t="shared" si="11"/>
        <v>44.59</v>
      </c>
      <c r="L82" s="123">
        <f t="shared" si="12"/>
        <v>159.25</v>
      </c>
      <c r="M82" s="132">
        <f t="shared" si="6"/>
        <v>983.78185511666663</v>
      </c>
      <c r="N82" s="132">
        <f t="shared" si="13"/>
        <v>1047.4818551166666</v>
      </c>
      <c r="O82" s="132">
        <f t="shared" si="14"/>
        <v>1153.3503102333334</v>
      </c>
      <c r="P82" s="129"/>
      <c r="Q82" s="129"/>
      <c r="R82" s="129"/>
      <c r="S82" s="129"/>
      <c r="T82" s="133"/>
      <c r="U82" s="125"/>
      <c r="V82" s="126"/>
      <c r="W82" s="126"/>
      <c r="X82" s="126"/>
      <c r="Y82" s="132"/>
      <c r="Z82" s="132"/>
    </row>
    <row r="83" spans="1:26" s="120" customFormat="1" ht="21" customHeight="1" x14ac:dyDescent="0.25">
      <c r="A83" s="1" t="str">
        <f>+'Pricing Turkey'!A65</f>
        <v>IT.30</v>
      </c>
      <c r="B83" s="75" t="str">
        <f>+'Pricing Turkey'!B65</f>
        <v>GARNITURE COULISSEAU 50</v>
      </c>
      <c r="C83" s="75" t="str">
        <f>+'Pricing Turkey'!C65</f>
        <v>RAILS &amp; ACCESSOIRES</v>
      </c>
      <c r="D83" s="75" t="str">
        <f>+'Pricing Turkey'!D65</f>
        <v>SET</v>
      </c>
      <c r="E83" s="75">
        <f>+'Pricing Turkey'!E65</f>
        <v>0.14000000000000001</v>
      </c>
      <c r="F83" s="75" t="str">
        <f>+'Pricing Turkey'!F65</f>
        <v>N</v>
      </c>
      <c r="G83" s="123">
        <f>'Pricing Turkey'!G65*G$7</f>
        <v>4.9000000000000004</v>
      </c>
      <c r="H83" s="123">
        <f t="shared" si="9"/>
        <v>0.99225000000000019</v>
      </c>
      <c r="I83" s="147">
        <f t="shared" si="5"/>
        <v>0.51793</v>
      </c>
      <c r="J83" s="123">
        <f t="shared" si="10"/>
        <v>0.89343573433333334</v>
      </c>
      <c r="K83" s="123">
        <f t="shared" si="11"/>
        <v>0.34300000000000008</v>
      </c>
      <c r="L83" s="123">
        <f t="shared" si="12"/>
        <v>1.2250000000000001</v>
      </c>
      <c r="M83" s="132">
        <f t="shared" si="6"/>
        <v>7.5673978671666671</v>
      </c>
      <c r="N83" s="132">
        <f t="shared" si="13"/>
        <v>8.0573978671666673</v>
      </c>
      <c r="O83" s="132">
        <f t="shared" si="14"/>
        <v>8.8716157343333339</v>
      </c>
      <c r="P83" s="129"/>
      <c r="Q83" s="129"/>
      <c r="R83" s="129"/>
      <c r="S83" s="129"/>
      <c r="T83" s="133"/>
      <c r="U83" s="125"/>
      <c r="V83" s="126"/>
      <c r="W83" s="126"/>
      <c r="X83" s="126"/>
      <c r="Y83" s="132"/>
      <c r="Z83" s="132"/>
    </row>
    <row r="84" spans="1:26" s="120" customFormat="1" ht="21" customHeight="1" x14ac:dyDescent="0.25">
      <c r="A84" s="1" t="str">
        <f>+'Pricing Turkey'!A66</f>
        <v>IT.31</v>
      </c>
      <c r="B84" s="75" t="str">
        <f>+'Pricing Turkey'!B66</f>
        <v>CABLE TRACTION (10mm)</v>
      </c>
      <c r="C84" s="75" t="str">
        <f>+'Pricing Turkey'!C66</f>
        <v>CABLES &amp; ACCESSOIRES</v>
      </c>
      <c r="D84" s="75" t="str">
        <f>+'Pricing Turkey'!D66</f>
        <v>M</v>
      </c>
      <c r="E84" s="75">
        <f>+'Pricing Turkey'!E66</f>
        <v>0.4</v>
      </c>
      <c r="F84" s="75" t="str">
        <f>+'Pricing Turkey'!F66</f>
        <v>STEEL</v>
      </c>
      <c r="G84" s="123">
        <f>'Pricing Turkey'!G66*G$7</f>
        <v>9.0160000000000018</v>
      </c>
      <c r="H84" s="123">
        <f t="shared" si="9"/>
        <v>1.8257400000000006</v>
      </c>
      <c r="I84" s="147">
        <f t="shared" si="5"/>
        <v>0.95299120000000004</v>
      </c>
      <c r="J84" s="123">
        <f t="shared" si="10"/>
        <v>1.6439254621589336</v>
      </c>
      <c r="K84" s="123">
        <f t="shared" si="11"/>
        <v>0.63112000000000024</v>
      </c>
      <c r="L84" s="123">
        <f t="shared" si="12"/>
        <v>2.2540000000000004</v>
      </c>
      <c r="M84" s="132">
        <f t="shared" si="6"/>
        <v>13.924013931079468</v>
      </c>
      <c r="N84" s="132">
        <f t="shared" si="13"/>
        <v>14.825613931079468</v>
      </c>
      <c r="O84" s="132">
        <f t="shared" si="14"/>
        <v>16.323776662158934</v>
      </c>
      <c r="P84" s="129"/>
      <c r="Q84" s="129"/>
      <c r="R84" s="129"/>
      <c r="S84" s="129"/>
      <c r="T84" s="133"/>
      <c r="U84" s="125"/>
      <c r="V84" s="126"/>
      <c r="W84" s="126"/>
      <c r="X84" s="126"/>
      <c r="Y84" s="132"/>
      <c r="Z84" s="132"/>
    </row>
    <row r="85" spans="1:26" ht="30" x14ac:dyDescent="0.25">
      <c r="A85" s="1" t="str">
        <f>+'Pricing Turkey'!A67</f>
        <v>IT.32</v>
      </c>
      <c r="B85" s="75" t="str">
        <f>+'Pricing Turkey'!B67</f>
        <v>CABLE GEARLESS (6,5mm)</v>
      </c>
      <c r="C85" s="75" t="str">
        <f>+'Pricing Turkey'!C67</f>
        <v>CABLES &amp; ACCESSOIRES</v>
      </c>
      <c r="D85" s="75" t="str">
        <f>+'Pricing Turkey'!D67</f>
        <v>M</v>
      </c>
      <c r="E85" s="75">
        <f>+'Pricing Turkey'!E67</f>
        <v>0</v>
      </c>
      <c r="F85" s="75" t="str">
        <f>+'Pricing Turkey'!F109</f>
        <v>STEEL</v>
      </c>
      <c r="G85" s="123">
        <f>'Pricing Turkey'!G67*G$7</f>
        <v>8.5259999999999998</v>
      </c>
      <c r="H85" s="123">
        <f t="shared" ref="H85:H116" si="15">IF(F85="STEEL",MAX(G85,E85*13)*20.25%,IF(F85="GALVA",MAX(G85,E85*24)*20.25%,IF(F85="INOX",MAX(G85,E85*40)*20.25%,IF(F85="COPPER",MAX(G85,E85*60)*20.25%,G85*20.25%))))</f>
        <v>1.726515</v>
      </c>
      <c r="I85" s="147">
        <f t="shared" si="5"/>
        <v>0.90119819999999984</v>
      </c>
      <c r="J85" s="123">
        <f t="shared" ref="J85:J116" si="16">(J$9+J$7*G85)/($G$5*$H$5)*G85</f>
        <v>1.5545812692676</v>
      </c>
      <c r="K85" s="123">
        <f t="shared" ref="K85:K116" si="17">K$7*G85</f>
        <v>0.59682000000000002</v>
      </c>
      <c r="L85" s="123">
        <f t="shared" ref="L85:L116" si="18">+G85*L$7</f>
        <v>2.1315</v>
      </c>
      <c r="M85" s="132">
        <f t="shared" si="6"/>
        <v>13.167273834633798</v>
      </c>
      <c r="N85" s="132">
        <f t="shared" ref="N85:N116" si="19">+G85+H85+I85+J85*50%+K85+L85*70%</f>
        <v>14.019873834633799</v>
      </c>
      <c r="O85" s="132">
        <f t="shared" ref="O85:O116" si="20">+SUM(H85:L85)+G85</f>
        <v>15.4366144692676</v>
      </c>
      <c r="P85" s="129"/>
      <c r="Q85" s="129"/>
      <c r="R85" s="129"/>
      <c r="S85" s="129"/>
      <c r="T85" s="133"/>
      <c r="U85" s="125"/>
      <c r="V85" s="126"/>
      <c r="W85" s="126"/>
      <c r="X85" s="126"/>
    </row>
    <row r="86" spans="1:26" ht="30" x14ac:dyDescent="0.25">
      <c r="A86" s="1" t="str">
        <f>+'Pricing Turkey'!A68</f>
        <v>IT.33</v>
      </c>
      <c r="B86" s="75" t="str">
        <f>+'Pricing Turkey'!B68</f>
        <v>CABLE REGULATEUR (6mm)</v>
      </c>
      <c r="C86" s="75" t="str">
        <f>+'Pricing Turkey'!C68</f>
        <v>CABLES &amp; ACCESSOIRES</v>
      </c>
      <c r="D86" s="75">
        <f>+'Pricing Turkey'!D68</f>
        <v>0</v>
      </c>
      <c r="E86" s="75">
        <f>+'Pricing Turkey'!E68</f>
        <v>0.22</v>
      </c>
      <c r="F86" s="75" t="str">
        <f>+'Pricing Turkey'!F68</f>
        <v>STEEL</v>
      </c>
      <c r="G86" s="123">
        <f>'Pricing Turkey'!G68*G$7</f>
        <v>2.7440000000000007</v>
      </c>
      <c r="H86" s="123">
        <f t="shared" si="15"/>
        <v>0.57915000000000005</v>
      </c>
      <c r="I86" s="147">
        <f t="shared" ref="I86:I149" si="21">+((I$9*G$7+I$11+I$13+I$15+I$17)*(1+I$7)+2500)/($G$5*$H$5)*G86</f>
        <v>0.29004080000000004</v>
      </c>
      <c r="J86" s="123">
        <f t="shared" si="16"/>
        <v>0.50032341962026683</v>
      </c>
      <c r="K86" s="123">
        <f t="shared" si="17"/>
        <v>0.19208000000000006</v>
      </c>
      <c r="L86" s="123">
        <f t="shared" si="18"/>
        <v>0.68600000000000017</v>
      </c>
      <c r="M86" s="132">
        <f t="shared" ref="M86:M149" si="22">+G86+H86+I86+J86*50%+K86+L86*30%</f>
        <v>4.2612325098101342</v>
      </c>
      <c r="N86" s="132">
        <f t="shared" si="19"/>
        <v>4.5356325098101342</v>
      </c>
      <c r="O86" s="132">
        <f t="shared" si="20"/>
        <v>4.9915942196202678</v>
      </c>
      <c r="P86" s="129"/>
      <c r="Q86" s="129"/>
      <c r="R86" s="129"/>
      <c r="S86" s="129"/>
      <c r="T86" s="133"/>
      <c r="U86" s="125"/>
      <c r="V86" s="126"/>
      <c r="W86" s="126"/>
      <c r="X86" s="126"/>
    </row>
    <row r="87" spans="1:26" ht="30" x14ac:dyDescent="0.25">
      <c r="A87" s="1" t="str">
        <f>+'Pricing Turkey'!A69</f>
        <v>IT.34</v>
      </c>
      <c r="B87" s="75" t="str">
        <f>+'Pricing Turkey'!B69</f>
        <v>TIRANDS 10MM</v>
      </c>
      <c r="C87" s="75" t="str">
        <f>+'Pricing Turkey'!C69</f>
        <v>CABLES &amp; ACCESSOIRES</v>
      </c>
      <c r="D87" s="75" t="str">
        <f>+'Pricing Turkey'!D69</f>
        <v>Pc</v>
      </c>
      <c r="E87" s="75">
        <f>+'Pricing Turkey'!E69</f>
        <v>1.0900000000000001</v>
      </c>
      <c r="F87" s="75" t="str">
        <f>+'Pricing Turkey'!F69</f>
        <v>GALVA</v>
      </c>
      <c r="G87" s="123">
        <f>'Pricing Turkey'!G69*G$7</f>
        <v>21.07</v>
      </c>
      <c r="H87" s="123">
        <f t="shared" si="15"/>
        <v>5.2974000000000014</v>
      </c>
      <c r="I87" s="147">
        <f t="shared" si="21"/>
        <v>2.2270989999999999</v>
      </c>
      <c r="J87" s="123">
        <f t="shared" si="16"/>
        <v>3.8418077278233338</v>
      </c>
      <c r="K87" s="123">
        <f t="shared" si="17"/>
        <v>1.4749000000000001</v>
      </c>
      <c r="L87" s="123">
        <f t="shared" si="18"/>
        <v>5.2675000000000001</v>
      </c>
      <c r="M87" s="132">
        <f t="shared" si="22"/>
        <v>33.570552863911672</v>
      </c>
      <c r="N87" s="132">
        <f t="shared" si="19"/>
        <v>35.677552863911671</v>
      </c>
      <c r="O87" s="132">
        <f t="shared" si="20"/>
        <v>39.178706727823339</v>
      </c>
      <c r="P87" s="129"/>
      <c r="Q87" s="129"/>
      <c r="R87" s="129"/>
      <c r="S87" s="129"/>
      <c r="T87" s="133"/>
      <c r="U87" s="125"/>
      <c r="V87" s="126"/>
      <c r="W87" s="126"/>
      <c r="X87" s="126"/>
    </row>
    <row r="88" spans="1:26" ht="30" x14ac:dyDescent="0.25">
      <c r="A88" s="1" t="str">
        <f>+'Pricing Turkey'!A70</f>
        <v>IT.35</v>
      </c>
      <c r="B88" s="75" t="str">
        <f>+'Pricing Turkey'!B70</f>
        <v>TIRANDS 6,5MM</v>
      </c>
      <c r="C88" s="75" t="str">
        <f>+'Pricing Turkey'!C70</f>
        <v>CABLES &amp; ACCESSOIRES</v>
      </c>
      <c r="D88" s="75" t="str">
        <f>+'Pricing Turkey'!D70</f>
        <v>Pc</v>
      </c>
      <c r="E88" s="75">
        <f>+'Pricing Turkey'!E70</f>
        <v>0</v>
      </c>
      <c r="F88" s="75" t="str">
        <f>+'Pricing Turkey'!F70</f>
        <v>GALVA</v>
      </c>
      <c r="G88" s="123">
        <f>'Pricing Turkey'!G70*G$7</f>
        <v>21.07</v>
      </c>
      <c r="H88" s="123">
        <f t="shared" si="15"/>
        <v>4.2666750000000002</v>
      </c>
      <c r="I88" s="147">
        <f t="shared" si="21"/>
        <v>2.2270989999999999</v>
      </c>
      <c r="J88" s="123">
        <f t="shared" si="16"/>
        <v>3.8418077278233338</v>
      </c>
      <c r="K88" s="123">
        <f t="shared" si="17"/>
        <v>1.4749000000000001</v>
      </c>
      <c r="L88" s="123">
        <f t="shared" si="18"/>
        <v>5.2675000000000001</v>
      </c>
      <c r="M88" s="132">
        <f t="shared" si="22"/>
        <v>32.539827863911668</v>
      </c>
      <c r="N88" s="132">
        <f t="shared" si="19"/>
        <v>34.646827863911668</v>
      </c>
      <c r="O88" s="132">
        <f t="shared" si="20"/>
        <v>38.147981727823336</v>
      </c>
      <c r="P88" s="129"/>
      <c r="Q88" s="129"/>
      <c r="R88" s="129"/>
      <c r="S88" s="129"/>
      <c r="T88" s="133"/>
      <c r="U88" s="125"/>
      <c r="V88" s="126"/>
      <c r="W88" s="126"/>
      <c r="X88" s="126"/>
    </row>
    <row r="89" spans="1:26" ht="30" x14ac:dyDescent="0.25">
      <c r="A89" s="1" t="str">
        <f>+'Pricing Turkey'!A71</f>
        <v>IT.36</v>
      </c>
      <c r="B89" s="75" t="str">
        <f>+'Pricing Turkey'!B71</f>
        <v>SERRE CABLE DIAM 10mm *</v>
      </c>
      <c r="C89" s="75" t="str">
        <f>+'Pricing Turkey'!C71</f>
        <v>CABLES &amp; ACCESSOIRES</v>
      </c>
      <c r="D89" s="75" t="str">
        <f>+'Pricing Turkey'!D71</f>
        <v>Pc</v>
      </c>
      <c r="E89" s="75">
        <f>+'Pricing Turkey'!E71</f>
        <v>7.0000000000000007E-2</v>
      </c>
      <c r="F89" s="75" t="str">
        <f>+'Pricing Turkey'!F71</f>
        <v>GALVA</v>
      </c>
      <c r="G89" s="123">
        <f>'Pricing Turkey'!G71*G$7</f>
        <v>1.9600000000000002</v>
      </c>
      <c r="H89" s="123">
        <f t="shared" si="15"/>
        <v>0.39690000000000009</v>
      </c>
      <c r="I89" s="147">
        <f t="shared" si="21"/>
        <v>0.207172</v>
      </c>
      <c r="J89" s="123">
        <f t="shared" si="16"/>
        <v>0.35737371749333335</v>
      </c>
      <c r="K89" s="123">
        <f t="shared" si="17"/>
        <v>0.13720000000000002</v>
      </c>
      <c r="L89" s="123">
        <f t="shared" si="18"/>
        <v>0.49000000000000005</v>
      </c>
      <c r="M89" s="132">
        <f t="shared" si="22"/>
        <v>3.0269588587466671</v>
      </c>
      <c r="N89" s="132">
        <f t="shared" si="19"/>
        <v>3.2229588587466669</v>
      </c>
      <c r="O89" s="132">
        <f t="shared" si="20"/>
        <v>3.5486457174933337</v>
      </c>
      <c r="P89" s="129"/>
      <c r="Q89" s="129"/>
      <c r="R89" s="129"/>
      <c r="S89" s="129"/>
      <c r="T89" s="133"/>
      <c r="U89" s="125"/>
      <c r="V89" s="126"/>
      <c r="W89" s="126"/>
      <c r="X89" s="126"/>
    </row>
    <row r="90" spans="1:26" ht="30" x14ac:dyDescent="0.25">
      <c r="A90" s="1" t="str">
        <f>+'Pricing Turkey'!A72</f>
        <v>IT.37</v>
      </c>
      <c r="B90" s="75" t="str">
        <f>+'Pricing Turkey'!B72</f>
        <v>SERRE CABLE DIAM 6,5mm *</v>
      </c>
      <c r="C90" s="75" t="str">
        <f>+'Pricing Turkey'!C72</f>
        <v>CABLES &amp; ACCESSOIRES</v>
      </c>
      <c r="D90" s="75">
        <f>+'Pricing Turkey'!D72</f>
        <v>0</v>
      </c>
      <c r="E90" s="75">
        <f>+'Pricing Turkey'!E72</f>
        <v>0</v>
      </c>
      <c r="F90" s="75" t="str">
        <f>+'Pricing Turkey'!F72</f>
        <v>GALVA</v>
      </c>
      <c r="G90" s="123">
        <f>'Pricing Turkey'!G72*G$7</f>
        <v>1.47</v>
      </c>
      <c r="H90" s="123">
        <f t="shared" si="15"/>
        <v>0.29767500000000002</v>
      </c>
      <c r="I90" s="147">
        <f t="shared" si="21"/>
        <v>0.15537899999999999</v>
      </c>
      <c r="J90" s="123">
        <f t="shared" si="16"/>
        <v>0.26803021609</v>
      </c>
      <c r="K90" s="123">
        <f t="shared" si="17"/>
        <v>0.10290000000000001</v>
      </c>
      <c r="L90" s="123">
        <f t="shared" si="18"/>
        <v>0.36749999999999999</v>
      </c>
      <c r="M90" s="132">
        <f t="shared" si="22"/>
        <v>2.270219108045</v>
      </c>
      <c r="N90" s="132">
        <f t="shared" si="19"/>
        <v>2.4172191080449998</v>
      </c>
      <c r="O90" s="132">
        <f t="shared" si="20"/>
        <v>2.6614842160899999</v>
      </c>
      <c r="P90" s="129"/>
      <c r="Q90" s="129"/>
      <c r="R90" s="129"/>
      <c r="S90" s="129"/>
      <c r="T90" s="133"/>
      <c r="U90" s="125"/>
      <c r="V90" s="126"/>
      <c r="W90" s="126"/>
      <c r="X90" s="126"/>
    </row>
    <row r="91" spans="1:26" ht="30" x14ac:dyDescent="0.25">
      <c r="A91" s="1" t="str">
        <f>+'Pricing Turkey'!A73</f>
        <v>IT.38</v>
      </c>
      <c r="B91" s="75" t="str">
        <f>+'Pricing Turkey'!B73</f>
        <v>SERRE CABLE DIAM 6mm *</v>
      </c>
      <c r="C91" s="75" t="str">
        <f>+'Pricing Turkey'!C73</f>
        <v>CABLES &amp; ACCESSOIRES</v>
      </c>
      <c r="D91" s="75" t="str">
        <f>+'Pricing Turkey'!D73</f>
        <v>Pc</v>
      </c>
      <c r="E91" s="75">
        <f>+'Pricing Turkey'!E73</f>
        <v>0.01</v>
      </c>
      <c r="F91" s="75" t="str">
        <f>+'Pricing Turkey'!F73</f>
        <v>GALVA</v>
      </c>
      <c r="G91" s="123">
        <f>'Pricing Turkey'!G73*G$7</f>
        <v>0.98000000000000009</v>
      </c>
      <c r="H91" s="123">
        <f t="shared" si="15"/>
        <v>0.19845000000000004</v>
      </c>
      <c r="I91" s="147">
        <f t="shared" si="21"/>
        <v>0.103586</v>
      </c>
      <c r="J91" s="123">
        <f t="shared" si="16"/>
        <v>0.17868676270666667</v>
      </c>
      <c r="K91" s="123">
        <f t="shared" si="17"/>
        <v>6.8600000000000008E-2</v>
      </c>
      <c r="L91" s="123">
        <f t="shared" si="18"/>
        <v>0.24500000000000002</v>
      </c>
      <c r="M91" s="132">
        <f t="shared" si="22"/>
        <v>1.5134793813533336</v>
      </c>
      <c r="N91" s="132">
        <f t="shared" si="19"/>
        <v>1.6114793813533335</v>
      </c>
      <c r="O91" s="132">
        <f t="shared" si="20"/>
        <v>1.7743227627066669</v>
      </c>
      <c r="P91" s="129"/>
      <c r="Q91" s="129"/>
      <c r="R91" s="129"/>
      <c r="S91" s="129"/>
      <c r="T91" s="133"/>
      <c r="U91" s="125"/>
      <c r="V91" s="126"/>
      <c r="W91" s="126"/>
      <c r="X91" s="126"/>
    </row>
    <row r="92" spans="1:26" ht="30" x14ac:dyDescent="0.25">
      <c r="A92" s="1" t="str">
        <f>+'Pricing Turkey'!A74</f>
        <v>IT.39</v>
      </c>
      <c r="B92" s="75" t="str">
        <f>+'Pricing Turkey'!B74</f>
        <v>GOSE 96 CM (50 KG)</v>
      </c>
      <c r="C92" s="75" t="str">
        <f>+'Pricing Turkey'!C74</f>
        <v>GOSE</v>
      </c>
      <c r="D92" s="75" t="str">
        <f>+'Pricing Turkey'!D74</f>
        <v>Pc</v>
      </c>
      <c r="E92" s="75">
        <f>+'Pricing Turkey'!E74</f>
        <v>50</v>
      </c>
      <c r="F92" s="75" t="str">
        <f>+'Pricing Turkey'!F74</f>
        <v>CONCRETE</v>
      </c>
      <c r="G92" s="123">
        <f>'Pricing Turkey'!G74*G$7</f>
        <v>58.800000000000004</v>
      </c>
      <c r="H92" s="123">
        <f t="shared" si="15"/>
        <v>11.907000000000002</v>
      </c>
      <c r="I92" s="147">
        <f t="shared" si="21"/>
        <v>6.21516</v>
      </c>
      <c r="J92" s="123">
        <f t="shared" si="16"/>
        <v>10.721545744</v>
      </c>
      <c r="K92" s="123">
        <f t="shared" si="17"/>
        <v>4.1160000000000005</v>
      </c>
      <c r="L92" s="123">
        <f t="shared" si="18"/>
        <v>14.700000000000001</v>
      </c>
      <c r="M92" s="132">
        <f t="shared" si="22"/>
        <v>90.808932872</v>
      </c>
      <c r="N92" s="132">
        <f t="shared" si="19"/>
        <v>96.688932872000009</v>
      </c>
      <c r="O92" s="132">
        <f t="shared" si="20"/>
        <v>106.45970574400002</v>
      </c>
      <c r="P92" s="129"/>
      <c r="Q92" s="129"/>
      <c r="R92" s="129"/>
      <c r="S92" s="129"/>
      <c r="T92" s="133"/>
      <c r="U92" s="125"/>
      <c r="V92" s="126"/>
      <c r="W92" s="126"/>
      <c r="X92" s="126"/>
    </row>
    <row r="93" spans="1:26" ht="30" x14ac:dyDescent="0.25">
      <c r="A93" s="1" t="str">
        <f>+'Pricing Turkey'!A75</f>
        <v>IT.40</v>
      </c>
      <c r="B93" s="75" t="str">
        <f>+'Pricing Turkey'!B75</f>
        <v>COLLECTEUR D'HUILE</v>
      </c>
      <c r="C93" s="75" t="str">
        <f>+'Pricing Turkey'!C75</f>
        <v>AUTRES</v>
      </c>
      <c r="D93" s="75" t="str">
        <f>+'Pricing Turkey'!D75</f>
        <v>Pc</v>
      </c>
      <c r="E93" s="75">
        <f>+'Pricing Turkey'!E75</f>
        <v>7.0000000000000007E-2</v>
      </c>
      <c r="F93" s="75" t="str">
        <f>+'Pricing Turkey'!F75</f>
        <v>PVC</v>
      </c>
      <c r="G93" s="123">
        <f>'Pricing Turkey'!G75*G$7</f>
        <v>2.4500000000000002</v>
      </c>
      <c r="H93" s="123">
        <f t="shared" si="15"/>
        <v>0.49612500000000009</v>
      </c>
      <c r="I93" s="147">
        <f t="shared" si="21"/>
        <v>0.258965</v>
      </c>
      <c r="J93" s="123">
        <f t="shared" si="16"/>
        <v>0.44671726691666669</v>
      </c>
      <c r="K93" s="123">
        <f t="shared" si="17"/>
        <v>0.17150000000000004</v>
      </c>
      <c r="L93" s="123">
        <f t="shared" si="18"/>
        <v>0.61250000000000004</v>
      </c>
      <c r="M93" s="132">
        <f t="shared" si="22"/>
        <v>3.7836986334583336</v>
      </c>
      <c r="N93" s="132">
        <f t="shared" si="19"/>
        <v>4.0286986334583341</v>
      </c>
      <c r="O93" s="132">
        <f t="shared" si="20"/>
        <v>4.435807266916667</v>
      </c>
      <c r="P93" s="129"/>
      <c r="Q93" s="129"/>
      <c r="R93" s="129"/>
      <c r="S93" s="129"/>
      <c r="T93" s="133"/>
      <c r="U93" s="125"/>
      <c r="V93" s="126"/>
      <c r="W93" s="126"/>
      <c r="X93" s="126"/>
    </row>
    <row r="94" spans="1:26" ht="30" x14ac:dyDescent="0.25">
      <c r="A94" s="1" t="str">
        <f>+'Pricing Turkey'!A76</f>
        <v>IT.41</v>
      </c>
      <c r="B94" s="75" t="str">
        <f>+'Pricing Turkey'!B76</f>
        <v>BOITE DE LUBRIFICATION</v>
      </c>
      <c r="C94" s="75" t="str">
        <f>+'Pricing Turkey'!C76</f>
        <v>AUTRES</v>
      </c>
      <c r="D94" s="75" t="str">
        <f>+'Pricing Turkey'!D76</f>
        <v>Pc</v>
      </c>
      <c r="E94" s="75">
        <f>+'Pricing Turkey'!E76</f>
        <v>0.3</v>
      </c>
      <c r="F94" s="75" t="str">
        <f>+'Pricing Turkey'!F76</f>
        <v>PVC</v>
      </c>
      <c r="G94" s="123">
        <f>'Pricing Turkey'!G76*G$7</f>
        <v>9.8000000000000007</v>
      </c>
      <c r="H94" s="123">
        <f t="shared" si="15"/>
        <v>1.9845000000000004</v>
      </c>
      <c r="I94" s="147">
        <f t="shared" si="21"/>
        <v>1.03586</v>
      </c>
      <c r="J94" s="123">
        <f t="shared" si="16"/>
        <v>1.7868762706666668</v>
      </c>
      <c r="K94" s="123">
        <f t="shared" si="17"/>
        <v>0.68600000000000017</v>
      </c>
      <c r="L94" s="123">
        <f t="shared" si="18"/>
        <v>2.4500000000000002</v>
      </c>
      <c r="M94" s="132">
        <f t="shared" si="22"/>
        <v>15.134798135333334</v>
      </c>
      <c r="N94" s="132">
        <f t="shared" si="19"/>
        <v>16.114798135333334</v>
      </c>
      <c r="O94" s="132">
        <f t="shared" si="20"/>
        <v>17.743236270666667</v>
      </c>
      <c r="P94" s="129"/>
      <c r="Q94" s="129"/>
      <c r="R94" s="129"/>
      <c r="S94" s="129"/>
      <c r="T94" s="133"/>
      <c r="U94" s="125"/>
      <c r="V94" s="126"/>
      <c r="W94" s="126"/>
      <c r="X94" s="126"/>
    </row>
    <row r="95" spans="1:26" ht="30" x14ac:dyDescent="0.25">
      <c r="A95" s="1" t="str">
        <f>+'Pricing Turkey'!A77</f>
        <v>IT.42</v>
      </c>
      <c r="B95" s="75" t="str">
        <f>+'Pricing Turkey'!B77</f>
        <v>COULISSEAUX CABIN</v>
      </c>
      <c r="C95" s="75" t="str">
        <f>+'Pricing Turkey'!C77</f>
        <v>AUTRES</v>
      </c>
      <c r="D95" s="75" t="str">
        <f>+'Pricing Turkey'!D77</f>
        <v>Pc</v>
      </c>
      <c r="E95" s="75">
        <f>+'Pricing Turkey'!E77</f>
        <v>1</v>
      </c>
      <c r="F95" s="75" t="str">
        <f>+'Pricing Turkey'!F80</f>
        <v>GALVA</v>
      </c>
      <c r="G95" s="123">
        <f>'Pricing Turkey'!G77*G$7</f>
        <v>58.800000000000004</v>
      </c>
      <c r="H95" s="123">
        <f t="shared" si="15"/>
        <v>11.907000000000002</v>
      </c>
      <c r="I95" s="147">
        <f t="shared" si="21"/>
        <v>6.21516</v>
      </c>
      <c r="J95" s="123">
        <f t="shared" si="16"/>
        <v>10.721545744</v>
      </c>
      <c r="K95" s="123">
        <f t="shared" si="17"/>
        <v>4.1160000000000005</v>
      </c>
      <c r="L95" s="123">
        <f t="shared" si="18"/>
        <v>14.700000000000001</v>
      </c>
      <c r="M95" s="132">
        <f t="shared" si="22"/>
        <v>90.808932872</v>
      </c>
      <c r="N95" s="132">
        <f t="shared" si="19"/>
        <v>96.688932872000009</v>
      </c>
      <c r="O95" s="132">
        <f t="shared" si="20"/>
        <v>106.45970574400002</v>
      </c>
      <c r="P95" s="129"/>
      <c r="Q95" s="129"/>
      <c r="R95" s="129"/>
      <c r="S95" s="129"/>
      <c r="T95" s="133"/>
      <c r="U95" s="125"/>
      <c r="V95" s="126"/>
      <c r="W95" s="126"/>
      <c r="X95" s="126"/>
    </row>
    <row r="96" spans="1:26" ht="30" x14ac:dyDescent="0.25">
      <c r="A96" s="1" t="str">
        <f>+'Pricing Turkey'!A78</f>
        <v>IT.43</v>
      </c>
      <c r="B96" s="75" t="str">
        <f>+'Pricing Turkey'!B78</f>
        <v>COULISSEAUX CONTRE-POIDS</v>
      </c>
      <c r="C96" s="75" t="str">
        <f>+'Pricing Turkey'!C78</f>
        <v>AUTRES</v>
      </c>
      <c r="D96" s="75" t="str">
        <f>+'Pricing Turkey'!D78</f>
        <v>Pc</v>
      </c>
      <c r="E96" s="75">
        <f>+'Pricing Turkey'!E78</f>
        <v>0.6</v>
      </c>
      <c r="F96" s="75" t="str">
        <f>+'Pricing Turkey'!F78</f>
        <v>STEEL</v>
      </c>
      <c r="G96" s="123">
        <f>'Pricing Turkey'!G78*G$7</f>
        <v>34.300000000000004</v>
      </c>
      <c r="H96" s="123">
        <f t="shared" si="15"/>
        <v>6.9457500000000012</v>
      </c>
      <c r="I96" s="147">
        <f t="shared" si="21"/>
        <v>3.6255100000000002</v>
      </c>
      <c r="J96" s="123">
        <f t="shared" si="16"/>
        <v>6.2541509823333348</v>
      </c>
      <c r="K96" s="123">
        <f t="shared" si="17"/>
        <v>2.4010000000000007</v>
      </c>
      <c r="L96" s="123">
        <f t="shared" si="18"/>
        <v>8.5750000000000011</v>
      </c>
      <c r="M96" s="132">
        <f t="shared" si="22"/>
        <v>52.971835491166672</v>
      </c>
      <c r="N96" s="132">
        <f t="shared" si="19"/>
        <v>56.401835491166672</v>
      </c>
      <c r="O96" s="132">
        <f t="shared" si="20"/>
        <v>62.101410982333341</v>
      </c>
      <c r="P96" s="129"/>
      <c r="Q96" s="129"/>
      <c r="R96" s="129"/>
      <c r="S96" s="129"/>
      <c r="T96" s="133"/>
      <c r="U96" s="125"/>
      <c r="V96" s="126"/>
      <c r="W96" s="126"/>
      <c r="X96" s="126"/>
    </row>
    <row r="97" spans="1:24" ht="30" x14ac:dyDescent="0.25">
      <c r="A97" s="1" t="str">
        <f>+'Pricing Turkey'!A79</f>
        <v>IT.44</v>
      </c>
      <c r="B97" s="75" t="str">
        <f>+'Pricing Turkey'!B79</f>
        <v>GARNITURE COULISSEAU 70</v>
      </c>
      <c r="C97" s="75" t="str">
        <f>+'Pricing Turkey'!C79</f>
        <v>AUTRES</v>
      </c>
      <c r="D97" s="75" t="str">
        <f>+'Pricing Turkey'!D79</f>
        <v>Pc</v>
      </c>
      <c r="E97" s="75">
        <f>+'Pricing Turkey'!E79</f>
        <v>0.14000000000000001</v>
      </c>
      <c r="F97" s="75" t="str">
        <f>+'Pricing Turkey'!F79</f>
        <v>PVC</v>
      </c>
      <c r="G97" s="123">
        <f>'Pricing Turkey'!G79*G$7</f>
        <v>4.9000000000000004</v>
      </c>
      <c r="H97" s="123">
        <f t="shared" si="15"/>
        <v>0.99225000000000019</v>
      </c>
      <c r="I97" s="147">
        <f t="shared" si="21"/>
        <v>0.51793</v>
      </c>
      <c r="J97" s="123">
        <f t="shared" si="16"/>
        <v>0.89343573433333334</v>
      </c>
      <c r="K97" s="123">
        <f t="shared" si="17"/>
        <v>0.34300000000000008</v>
      </c>
      <c r="L97" s="123">
        <f t="shared" si="18"/>
        <v>1.2250000000000001</v>
      </c>
      <c r="M97" s="132">
        <f t="shared" si="22"/>
        <v>7.5673978671666671</v>
      </c>
      <c r="N97" s="132">
        <f t="shared" si="19"/>
        <v>8.0573978671666673</v>
      </c>
      <c r="O97" s="132">
        <f t="shared" si="20"/>
        <v>8.8716157343333339</v>
      </c>
      <c r="P97" s="129"/>
      <c r="Q97" s="129"/>
      <c r="R97" s="129"/>
      <c r="S97" s="129"/>
      <c r="T97" s="133"/>
      <c r="U97" s="125"/>
      <c r="V97" s="126"/>
      <c r="W97" s="126"/>
      <c r="X97" s="126"/>
    </row>
    <row r="98" spans="1:24" ht="30" x14ac:dyDescent="0.25">
      <c r="A98" s="1" t="str">
        <f>+'Pricing Turkey'!A80</f>
        <v>IT.45</v>
      </c>
      <c r="B98" s="75" t="str">
        <f>+'Pricing Turkey'!B80</f>
        <v>POULIE RENVOI 5*10 GEARBOX</v>
      </c>
      <c r="C98" s="75" t="str">
        <f>+'Pricing Turkey'!C80</f>
        <v>AUTRES</v>
      </c>
      <c r="D98" s="75" t="str">
        <f>+'Pricing Turkey'!D80</f>
        <v>Pc</v>
      </c>
      <c r="E98" s="75">
        <f>+'Pricing Turkey'!E80</f>
        <v>20</v>
      </c>
      <c r="F98" s="75" t="e">
        <f>+'Pricing Turkey'!#REF!</f>
        <v>#REF!</v>
      </c>
      <c r="G98" s="123">
        <f>'Pricing Turkey'!G80*G$7</f>
        <v>588</v>
      </c>
      <c r="H98" s="123" t="e">
        <f t="shared" si="15"/>
        <v>#REF!</v>
      </c>
      <c r="I98" s="147">
        <f t="shared" si="21"/>
        <v>62.151599999999995</v>
      </c>
      <c r="J98" s="123">
        <f t="shared" si="16"/>
        <v>107.2465744</v>
      </c>
      <c r="K98" s="123">
        <f t="shared" si="17"/>
        <v>41.160000000000004</v>
      </c>
      <c r="L98" s="123">
        <f t="shared" si="18"/>
        <v>147</v>
      </c>
      <c r="M98" s="132" t="e">
        <f t="shared" si="22"/>
        <v>#REF!</v>
      </c>
      <c r="N98" s="132" t="e">
        <f t="shared" si="19"/>
        <v>#REF!</v>
      </c>
      <c r="O98" s="132" t="e">
        <f t="shared" si="20"/>
        <v>#REF!</v>
      </c>
      <c r="P98" s="129"/>
      <c r="Q98" s="129"/>
      <c r="R98" s="129"/>
      <c r="S98" s="129"/>
      <c r="T98" s="133"/>
      <c r="U98" s="125"/>
      <c r="V98" s="126"/>
      <c r="W98" s="126"/>
      <c r="X98" s="126"/>
    </row>
    <row r="99" spans="1:24" ht="30" x14ac:dyDescent="0.25">
      <c r="A99" s="1" t="str">
        <f>+'Pricing Turkey'!A81</f>
        <v>IT.46</v>
      </c>
      <c r="B99" s="75" t="str">
        <f>+'Pricing Turkey'!B81</f>
        <v>BUFFER  CABIN/C,P / LES BOUDINS  SET COMPLET</v>
      </c>
      <c r="C99" s="75" t="str">
        <f>+'Pricing Turkey'!C81</f>
        <v>AUTRES</v>
      </c>
      <c r="D99" s="75" t="str">
        <f>+'Pricing Turkey'!D81</f>
        <v>SET</v>
      </c>
      <c r="E99" s="75">
        <f>+'Pricing Turkey'!E81</f>
        <v>22</v>
      </c>
      <c r="F99" s="75" t="str">
        <f>+'Pricing Turkey'!F81</f>
        <v>GALVA</v>
      </c>
      <c r="G99" s="123">
        <f>'Pricing Turkey'!G81*G$7</f>
        <v>323.40000000000003</v>
      </c>
      <c r="H99" s="123">
        <f t="shared" si="15"/>
        <v>106.92</v>
      </c>
      <c r="I99" s="147">
        <f t="shared" si="21"/>
        <v>34.18338</v>
      </c>
      <c r="J99" s="123">
        <f t="shared" si="16"/>
        <v>58.977058755999998</v>
      </c>
      <c r="K99" s="123">
        <f t="shared" si="17"/>
        <v>22.638000000000005</v>
      </c>
      <c r="L99" s="123">
        <f t="shared" si="18"/>
        <v>80.850000000000009</v>
      </c>
      <c r="M99" s="132">
        <f t="shared" si="22"/>
        <v>540.88490937800009</v>
      </c>
      <c r="N99" s="132">
        <f t="shared" si="19"/>
        <v>573.22490937800012</v>
      </c>
      <c r="O99" s="132">
        <f t="shared" si="20"/>
        <v>626.96843875600007</v>
      </c>
      <c r="P99" s="129"/>
      <c r="Q99" s="129"/>
      <c r="R99" s="129"/>
      <c r="S99" s="129"/>
      <c r="T99" s="133"/>
      <c r="U99" s="125"/>
      <c r="V99" s="126"/>
      <c r="W99" s="126"/>
      <c r="X99" s="126"/>
    </row>
    <row r="100" spans="1:24" ht="30" x14ac:dyDescent="0.25">
      <c r="A100" s="1" t="str">
        <f>+'Pricing Turkey'!A82</f>
        <v>IT.47</v>
      </c>
      <c r="B100" s="75" t="str">
        <f>+'Pricing Turkey'!B82</f>
        <v>CABLE 0,75MM</v>
      </c>
      <c r="C100" s="75" t="str">
        <f>+'Pricing Turkey'!C82</f>
        <v>CABLES ELECTRIQUES &amp; ACCESSOIRES</v>
      </c>
      <c r="D100" s="75" t="str">
        <f>+'Pricing Turkey'!D82</f>
        <v>M</v>
      </c>
      <c r="E100" s="75">
        <f>+'Pricing Turkey'!E82</f>
        <v>0.02</v>
      </c>
      <c r="F100" s="75" t="str">
        <f>+'Pricing Turkey'!F82</f>
        <v>COPPER</v>
      </c>
      <c r="G100" s="123">
        <f>'Pricing Turkey'!G82*G$7</f>
        <v>0.22540000000000002</v>
      </c>
      <c r="H100" s="123">
        <f t="shared" si="15"/>
        <v>0.24299999999999999</v>
      </c>
      <c r="I100" s="147">
        <f t="shared" si="21"/>
        <v>2.382478E-2</v>
      </c>
      <c r="J100" s="123">
        <f t="shared" si="16"/>
        <v>4.1097938413849337E-2</v>
      </c>
      <c r="K100" s="123">
        <f t="shared" si="17"/>
        <v>1.5778000000000004E-2</v>
      </c>
      <c r="L100" s="123">
        <f t="shared" si="18"/>
        <v>5.6350000000000004E-2</v>
      </c>
      <c r="M100" s="132">
        <f t="shared" si="22"/>
        <v>0.54545674920692455</v>
      </c>
      <c r="N100" s="132">
        <f t="shared" si="19"/>
        <v>0.56799674920692456</v>
      </c>
      <c r="O100" s="132">
        <f t="shared" si="20"/>
        <v>0.60545071841384934</v>
      </c>
      <c r="P100" s="129"/>
      <c r="Q100" s="129"/>
      <c r="R100" s="129"/>
      <c r="S100" s="129"/>
      <c r="T100" s="133"/>
      <c r="U100" s="125"/>
      <c r="V100" s="126"/>
      <c r="W100" s="126"/>
      <c r="X100" s="126"/>
    </row>
    <row r="101" spans="1:24" ht="30" x14ac:dyDescent="0.25">
      <c r="A101" s="1" t="str">
        <f>+'Pricing Turkey'!A83</f>
        <v>IT.48</v>
      </c>
      <c r="B101" s="75" t="str">
        <f>+'Pricing Turkey'!B83</f>
        <v>CABLE 4MM</v>
      </c>
      <c r="C101" s="75" t="str">
        <f>+'Pricing Turkey'!C83</f>
        <v>CABLES ELECTRIQUES &amp; ACCESSOIRES</v>
      </c>
      <c r="D101" s="75" t="str">
        <f>+'Pricing Turkey'!D83</f>
        <v>M</v>
      </c>
      <c r="E101" s="75">
        <f>+'Pricing Turkey'!E83</f>
        <v>0.03</v>
      </c>
      <c r="F101" s="75" t="str">
        <f>+'Pricing Turkey'!F83</f>
        <v>COPPER</v>
      </c>
      <c r="G101" s="123">
        <f>'Pricing Turkey'!G83*G$7</f>
        <v>1.0486</v>
      </c>
      <c r="H101" s="123">
        <f t="shared" si="15"/>
        <v>0.36449999999999999</v>
      </c>
      <c r="I101" s="147">
        <f t="shared" si="21"/>
        <v>0.11083701999999998</v>
      </c>
      <c r="J101" s="123">
        <f t="shared" si="16"/>
        <v>0.19119484328952932</v>
      </c>
      <c r="K101" s="123">
        <f t="shared" si="17"/>
        <v>7.3402000000000009E-2</v>
      </c>
      <c r="L101" s="123">
        <f t="shared" si="18"/>
        <v>0.26214999999999999</v>
      </c>
      <c r="M101" s="132">
        <f t="shared" si="22"/>
        <v>1.7715814416447646</v>
      </c>
      <c r="N101" s="132">
        <f t="shared" si="19"/>
        <v>1.8764414416447646</v>
      </c>
      <c r="O101" s="132">
        <f t="shared" si="20"/>
        <v>2.050683863289529</v>
      </c>
      <c r="P101" s="129"/>
      <c r="Q101" s="129"/>
      <c r="R101" s="129"/>
      <c r="S101" s="129"/>
      <c r="T101" s="133"/>
      <c r="U101" s="125"/>
      <c r="V101" s="126"/>
      <c r="W101" s="126"/>
      <c r="X101" s="126"/>
    </row>
    <row r="102" spans="1:24" ht="45" x14ac:dyDescent="0.25">
      <c r="A102" s="1" t="str">
        <f>+'Pricing Turkey'!A84</f>
        <v>IT.49</v>
      </c>
      <c r="B102" s="75" t="str">
        <f>+'Pricing Turkey'!B84</f>
        <v>CÂBLE NUMÉRIQUE DT/13</v>
      </c>
      <c r="C102" s="75" t="str">
        <f>+'Pricing Turkey'!C84</f>
        <v>CABLES ELECTRIQUES &amp; ACCESSOIRES</v>
      </c>
      <c r="D102" s="75" t="str">
        <f>+'Pricing Turkey'!D84</f>
        <v>M</v>
      </c>
      <c r="E102" s="75">
        <f>+'Pricing Turkey'!E84</f>
        <v>0.04</v>
      </c>
      <c r="F102" s="75" t="str">
        <f>+'Pricing Turkey'!F84</f>
        <v>COPPER</v>
      </c>
      <c r="G102" s="123">
        <f>'Pricing Turkey'!G84*G$7</f>
        <v>1.1956</v>
      </c>
      <c r="H102" s="123">
        <f t="shared" si="15"/>
        <v>0.48599999999999999</v>
      </c>
      <c r="I102" s="147">
        <f t="shared" si="21"/>
        <v>0.12637491999999997</v>
      </c>
      <c r="J102" s="123">
        <f t="shared" si="16"/>
        <v>0.21799787627926934</v>
      </c>
      <c r="K102" s="123">
        <f t="shared" si="17"/>
        <v>8.3692000000000003E-2</v>
      </c>
      <c r="L102" s="123">
        <f t="shared" si="18"/>
        <v>0.2989</v>
      </c>
      <c r="M102" s="132">
        <f t="shared" si="22"/>
        <v>2.0903358581396345</v>
      </c>
      <c r="N102" s="132">
        <f t="shared" si="19"/>
        <v>2.2098958581396344</v>
      </c>
      <c r="O102" s="132">
        <f t="shared" si="20"/>
        <v>2.4085647962792693</v>
      </c>
      <c r="P102" s="129"/>
      <c r="Q102" s="129"/>
      <c r="R102" s="129"/>
      <c r="S102" s="129"/>
      <c r="T102" s="133"/>
      <c r="U102" s="125"/>
      <c r="V102" s="126"/>
      <c r="W102" s="126"/>
      <c r="X102" s="126"/>
    </row>
    <row r="103" spans="1:24" ht="45" x14ac:dyDescent="0.25">
      <c r="A103" s="1" t="str">
        <f>+'Pricing Turkey'!A85</f>
        <v>IT.50</v>
      </c>
      <c r="B103" s="75" t="str">
        <f>+'Pricing Turkey'!B85</f>
        <v>TTR CABLE 3*0,75MM</v>
      </c>
      <c r="C103" s="75" t="str">
        <f>+'Pricing Turkey'!C85</f>
        <v>CABLES ELECTRIQUES &amp; ACCESSOIRES</v>
      </c>
      <c r="D103" s="75" t="str">
        <f>+'Pricing Turkey'!D85</f>
        <v>M</v>
      </c>
      <c r="E103" s="75">
        <f>+'Pricing Turkey'!E85</f>
        <v>0.05</v>
      </c>
      <c r="F103" s="75" t="str">
        <f>+'Pricing Turkey'!F85</f>
        <v>COPPER</v>
      </c>
      <c r="G103" s="123">
        <f>'Pricing Turkey'!G85*G$7</f>
        <v>1.3426000000000002</v>
      </c>
      <c r="H103" s="123">
        <f t="shared" si="15"/>
        <v>0.60750000000000004</v>
      </c>
      <c r="I103" s="147">
        <f t="shared" si="21"/>
        <v>0.14191282000000002</v>
      </c>
      <c r="J103" s="123">
        <f t="shared" si="16"/>
        <v>0.24480091359080935</v>
      </c>
      <c r="K103" s="123">
        <f t="shared" si="17"/>
        <v>9.3982000000000024E-2</v>
      </c>
      <c r="L103" s="123">
        <f t="shared" si="18"/>
        <v>0.33565000000000006</v>
      </c>
      <c r="M103" s="132">
        <f t="shared" si="22"/>
        <v>2.4090902767954048</v>
      </c>
      <c r="N103" s="132">
        <f t="shared" si="19"/>
        <v>2.5433502767954046</v>
      </c>
      <c r="O103" s="132">
        <f t="shared" si="20"/>
        <v>2.7664457335908095</v>
      </c>
      <c r="P103" s="129"/>
      <c r="Q103" s="129"/>
      <c r="R103" s="129"/>
      <c r="S103" s="129"/>
      <c r="T103" s="133"/>
      <c r="U103" s="125"/>
      <c r="V103" s="126"/>
      <c r="W103" s="126"/>
      <c r="X103" s="126"/>
    </row>
    <row r="104" spans="1:24" ht="45" x14ac:dyDescent="0.25">
      <c r="A104" s="1" t="str">
        <f>+'Pricing Turkey'!A86</f>
        <v>IT.51</v>
      </c>
      <c r="B104" s="75" t="str">
        <f>+'Pricing Turkey'!B86</f>
        <v>CABLE SOUPLE 24
36 -&gt; 75 DH / 24 -&gt;  55 À 60 DH</v>
      </c>
      <c r="C104" s="75" t="str">
        <f>+'Pricing Turkey'!C86</f>
        <v>CABLES ELECTRIQUES &amp; ACCESSOIRES</v>
      </c>
      <c r="D104" s="75" t="str">
        <f>+'Pricing Turkey'!D86</f>
        <v>M</v>
      </c>
      <c r="E104" s="75">
        <f>+'Pricing Turkey'!E86</f>
        <v>1.2</v>
      </c>
      <c r="F104" s="75" t="str">
        <f>+'Pricing Turkey'!F86</f>
        <v>COPPER</v>
      </c>
      <c r="G104" s="123">
        <f>'Pricing Turkey'!G86*G$7</f>
        <v>15.12434</v>
      </c>
      <c r="H104" s="123">
        <f t="shared" si="15"/>
        <v>14.580000000000002</v>
      </c>
      <c r="I104" s="147">
        <f t="shared" si="21"/>
        <v>1.5986427379999999</v>
      </c>
      <c r="J104" s="123">
        <f t="shared" si="16"/>
        <v>2.7576942012327104</v>
      </c>
      <c r="K104" s="123">
        <f t="shared" si="17"/>
        <v>1.0587038000000002</v>
      </c>
      <c r="L104" s="123">
        <f t="shared" si="18"/>
        <v>3.781085</v>
      </c>
      <c r="M104" s="132">
        <f t="shared" si="22"/>
        <v>34.874859138616365</v>
      </c>
      <c r="N104" s="132">
        <f t="shared" si="19"/>
        <v>36.387293138616364</v>
      </c>
      <c r="O104" s="132">
        <f t="shared" si="20"/>
        <v>38.900465739232715</v>
      </c>
      <c r="P104" s="129"/>
      <c r="Q104" s="129"/>
      <c r="R104" s="129"/>
      <c r="S104" s="129"/>
      <c r="T104" s="133"/>
      <c r="U104" s="125"/>
      <c r="V104" s="126"/>
      <c r="W104" s="126"/>
      <c r="X104" s="126"/>
    </row>
    <row r="105" spans="1:24" ht="45" x14ac:dyDescent="0.25">
      <c r="A105" s="1" t="str">
        <f>+'Pricing Turkey'!A87</f>
        <v>IT.52</v>
      </c>
      <c r="B105" s="75" t="str">
        <f>+'Pricing Turkey'!B87</f>
        <v>SUPPORT CABLE SOUPLE TYPE RECTANGLE</v>
      </c>
      <c r="C105" s="75" t="str">
        <f>+'Pricing Turkey'!C87</f>
        <v>CABLES ELECTRIQUES &amp; ACCESSOIRES</v>
      </c>
      <c r="D105" s="75" t="str">
        <f>+'Pricing Turkey'!D87</f>
        <v>M</v>
      </c>
      <c r="E105" s="75">
        <f>+'Pricing Turkey'!E87</f>
        <v>0.3</v>
      </c>
      <c r="F105" s="75" t="str">
        <f>+'Pricing Turkey'!F87</f>
        <v>COPPER</v>
      </c>
      <c r="G105" s="123">
        <f>'Pricing Turkey'!G87*G$7</f>
        <v>7.8400000000000007</v>
      </c>
      <c r="H105" s="123">
        <f t="shared" si="15"/>
        <v>3.6450000000000005</v>
      </c>
      <c r="I105" s="147">
        <f t="shared" si="21"/>
        <v>0.82868799999999998</v>
      </c>
      <c r="J105" s="123">
        <f t="shared" si="16"/>
        <v>1.4294994798933336</v>
      </c>
      <c r="K105" s="123">
        <f t="shared" si="17"/>
        <v>0.54880000000000007</v>
      </c>
      <c r="L105" s="123">
        <f t="shared" si="18"/>
        <v>1.9600000000000002</v>
      </c>
      <c r="M105" s="132">
        <f t="shared" si="22"/>
        <v>14.165237739946669</v>
      </c>
      <c r="N105" s="132">
        <f t="shared" si="19"/>
        <v>14.949237739946668</v>
      </c>
      <c r="O105" s="132">
        <f t="shared" si="20"/>
        <v>16.251987479893334</v>
      </c>
      <c r="P105" s="129"/>
      <c r="Q105" s="129"/>
      <c r="R105" s="129"/>
      <c r="S105" s="129"/>
      <c r="T105" s="133"/>
      <c r="U105" s="125"/>
      <c r="V105" s="126"/>
      <c r="W105" s="126"/>
      <c r="X105" s="126"/>
    </row>
    <row r="106" spans="1:24" ht="45" x14ac:dyDescent="0.25">
      <c r="A106" s="1" t="str">
        <f>+'Pricing Turkey'!A88</f>
        <v>IT.53</v>
      </c>
      <c r="B106" s="75" t="str">
        <f>+'Pricing Turkey'!B88</f>
        <v>WIRE DUCT GOULLOTTE 40X40</v>
      </c>
      <c r="C106" s="75" t="str">
        <f>+'Pricing Turkey'!C88</f>
        <v>CABLES ELECTRIQUES &amp; ACCESSOIRES</v>
      </c>
      <c r="D106" s="75" t="str">
        <f>+'Pricing Turkey'!D88</f>
        <v>M</v>
      </c>
      <c r="E106" s="75">
        <f>+'Pricing Turkey'!E88</f>
        <v>0.5</v>
      </c>
      <c r="F106" s="75" t="str">
        <f>+'Pricing Turkey'!F88</f>
        <v>COPPER</v>
      </c>
      <c r="G106" s="123">
        <f>'Pricing Turkey'!G88*G$7</f>
        <v>3.9200000000000004</v>
      </c>
      <c r="H106" s="123">
        <f t="shared" si="15"/>
        <v>6.0750000000000002</v>
      </c>
      <c r="I106" s="147">
        <f t="shared" si="21"/>
        <v>0.41434399999999999</v>
      </c>
      <c r="J106" s="123">
        <f t="shared" si="16"/>
        <v>0.71474820330666677</v>
      </c>
      <c r="K106" s="123">
        <f t="shared" si="17"/>
        <v>0.27440000000000003</v>
      </c>
      <c r="L106" s="123">
        <f t="shared" si="18"/>
        <v>0.98000000000000009</v>
      </c>
      <c r="M106" s="132">
        <f t="shared" si="22"/>
        <v>11.335118101653334</v>
      </c>
      <c r="N106" s="132">
        <f t="shared" si="19"/>
        <v>11.727118101653334</v>
      </c>
      <c r="O106" s="132">
        <f t="shared" si="20"/>
        <v>12.378492203306667</v>
      </c>
      <c r="P106" s="129"/>
      <c r="Q106" s="129"/>
      <c r="R106" s="129"/>
      <c r="S106" s="129"/>
      <c r="T106" s="133"/>
      <c r="U106" s="125"/>
      <c r="V106" s="126"/>
      <c r="W106" s="126"/>
      <c r="X106" s="126"/>
    </row>
    <row r="107" spans="1:24" ht="45" x14ac:dyDescent="0.25">
      <c r="A107" s="1" t="str">
        <f>+'Pricing Turkey'!A89</f>
        <v>IT.54</v>
      </c>
      <c r="B107" s="75" t="str">
        <f>+'Pricing Turkey'!B89</f>
        <v>TUBE SPIRALÉ 14MM</v>
      </c>
      <c r="C107" s="75" t="str">
        <f>+'Pricing Turkey'!C89</f>
        <v>CABLES ELECTRIQUES &amp; ACCESSOIRES</v>
      </c>
      <c r="D107" s="75" t="str">
        <f>+'Pricing Turkey'!D89</f>
        <v>M</v>
      </c>
      <c r="E107" s="75">
        <f>+'Pricing Turkey'!E89</f>
        <v>1</v>
      </c>
      <c r="F107" s="75" t="str">
        <f>+'Pricing Turkey'!F89</f>
        <v>COPPER</v>
      </c>
      <c r="G107" s="123">
        <f>'Pricing Turkey'!G89*G$7</f>
        <v>0.88200000000000001</v>
      </c>
      <c r="H107" s="123">
        <f t="shared" si="15"/>
        <v>12.15</v>
      </c>
      <c r="I107" s="147">
        <f t="shared" si="21"/>
        <v>9.3227399999999988E-2</v>
      </c>
      <c r="J107" s="123">
        <f t="shared" si="16"/>
        <v>0.16081807779240001</v>
      </c>
      <c r="K107" s="123">
        <f t="shared" si="17"/>
        <v>6.1740000000000003E-2</v>
      </c>
      <c r="L107" s="123">
        <f t="shared" si="18"/>
        <v>0.2205</v>
      </c>
      <c r="M107" s="132">
        <f t="shared" si="22"/>
        <v>13.3335264388962</v>
      </c>
      <c r="N107" s="132">
        <f t="shared" si="19"/>
        <v>13.421726438896201</v>
      </c>
      <c r="O107" s="132">
        <f t="shared" si="20"/>
        <v>13.568285477792401</v>
      </c>
      <c r="P107" s="129"/>
      <c r="Q107" s="129"/>
      <c r="R107" s="129"/>
      <c r="S107" s="129"/>
      <c r="T107" s="133"/>
      <c r="U107" s="125"/>
      <c r="V107" s="126"/>
      <c r="W107" s="126"/>
      <c r="X107" s="126"/>
    </row>
    <row r="108" spans="1:24" x14ac:dyDescent="0.25">
      <c r="A108" s="1" t="str">
        <f>+'Pricing Turkey'!A90</f>
        <v>IT.55</v>
      </c>
      <c r="B108" s="75" t="str">
        <f>+'Pricing Turkey'!B90</f>
        <v>BOUTONS DE CABINE D’ASCENSEUR 2M</v>
      </c>
      <c r="C108" s="75" t="str">
        <f>+'Pricing Turkey'!C90</f>
        <v>BOUTONS</v>
      </c>
      <c r="D108" s="75" t="str">
        <f>+'Pricing Turkey'!D90</f>
        <v>Pc</v>
      </c>
      <c r="E108" s="75">
        <f>+'Pricing Turkey'!E90</f>
        <v>1.8</v>
      </c>
      <c r="F108" s="75" t="str">
        <f>+'Pricing Turkey'!F90</f>
        <v>INOX</v>
      </c>
      <c r="G108" s="123">
        <f>'Pricing Turkey'!G90*G$7</f>
        <v>931.00000000000011</v>
      </c>
      <c r="H108" s="123">
        <f t="shared" si="15"/>
        <v>188.52750000000003</v>
      </c>
      <c r="I108" s="147">
        <f t="shared" si="21"/>
        <v>98.406700000000001</v>
      </c>
      <c r="J108" s="123">
        <f t="shared" si="16"/>
        <v>169.83900943333336</v>
      </c>
      <c r="K108" s="123">
        <f t="shared" si="17"/>
        <v>65.170000000000016</v>
      </c>
      <c r="L108" s="123">
        <f t="shared" si="18"/>
        <v>232.75000000000003</v>
      </c>
      <c r="M108" s="132">
        <f t="shared" si="22"/>
        <v>1437.848704716667</v>
      </c>
      <c r="N108" s="132">
        <f t="shared" si="19"/>
        <v>1530.948704716667</v>
      </c>
      <c r="O108" s="132">
        <f t="shared" si="20"/>
        <v>1685.6932094333333</v>
      </c>
      <c r="P108" s="129"/>
      <c r="Q108" s="129"/>
      <c r="R108" s="129"/>
      <c r="S108" s="129"/>
      <c r="T108" s="133"/>
      <c r="U108" s="125"/>
      <c r="V108" s="126"/>
      <c r="W108" s="126"/>
      <c r="X108" s="126"/>
    </row>
    <row r="109" spans="1:24" x14ac:dyDescent="0.25">
      <c r="A109" s="1" t="str">
        <f>+'Pricing Turkey'!A91</f>
        <v>IT.56</v>
      </c>
      <c r="B109" s="75" t="str">
        <f>+'Pricing Turkey'!B91</f>
        <v>BOUTONS DE CABINE D’ASCENSEUR 1M</v>
      </c>
      <c r="C109" s="75" t="str">
        <f>+'Pricing Turkey'!C91</f>
        <v>BOUTONS</v>
      </c>
      <c r="D109" s="75" t="str">
        <f>+'Pricing Turkey'!D91</f>
        <v>Pc</v>
      </c>
      <c r="E109" s="75">
        <f>+'Pricing Turkey'!E91</f>
        <v>1.2</v>
      </c>
      <c r="F109" s="75" t="str">
        <f>+'Pricing Turkey'!F91</f>
        <v>INOX</v>
      </c>
      <c r="G109" s="123">
        <f>'Pricing Turkey'!G91*G$7</f>
        <v>784</v>
      </c>
      <c r="H109" s="123">
        <f t="shared" si="15"/>
        <v>158.76000000000002</v>
      </c>
      <c r="I109" s="147">
        <f t="shared" si="21"/>
        <v>82.868799999999993</v>
      </c>
      <c r="J109" s="123">
        <f t="shared" si="16"/>
        <v>143.01079893333332</v>
      </c>
      <c r="K109" s="123">
        <f t="shared" si="17"/>
        <v>54.88</v>
      </c>
      <c r="L109" s="123">
        <f t="shared" si="18"/>
        <v>196</v>
      </c>
      <c r="M109" s="132">
        <f t="shared" si="22"/>
        <v>1210.8141994666667</v>
      </c>
      <c r="N109" s="132">
        <f t="shared" si="19"/>
        <v>1289.2141994666667</v>
      </c>
      <c r="O109" s="132">
        <f t="shared" si="20"/>
        <v>1419.5195989333333</v>
      </c>
      <c r="P109" s="129"/>
      <c r="Q109" s="129"/>
      <c r="R109" s="129"/>
      <c r="S109" s="129"/>
      <c r="T109" s="133"/>
      <c r="U109" s="125"/>
      <c r="V109" s="126"/>
      <c r="W109" s="126"/>
      <c r="X109" s="126"/>
    </row>
    <row r="110" spans="1:24" x14ac:dyDescent="0.25">
      <c r="A110" s="1" t="str">
        <f>+'Pricing Turkey'!A92</f>
        <v>IT.57</v>
      </c>
      <c r="B110" s="75" t="str">
        <f>+'Pricing Turkey'!B92</f>
        <v>BOUTON PALIER AVEC AFFICHEUR</v>
      </c>
      <c r="C110" s="75" t="str">
        <f>+'Pricing Turkey'!C92</f>
        <v>BOUTONS</v>
      </c>
      <c r="D110" s="75" t="str">
        <f>+'Pricing Turkey'!D92</f>
        <v>Pc</v>
      </c>
      <c r="E110" s="75">
        <f>+'Pricing Turkey'!E92</f>
        <v>1.5</v>
      </c>
      <c r="F110" s="75" t="str">
        <f>+'Pricing Turkey'!F92</f>
        <v>INOX</v>
      </c>
      <c r="G110" s="123">
        <f>'Pricing Turkey'!G92*G$7</f>
        <v>62.720000000000006</v>
      </c>
      <c r="H110" s="123">
        <f t="shared" si="15"/>
        <v>12.700800000000003</v>
      </c>
      <c r="I110" s="147">
        <f t="shared" si="21"/>
        <v>6.6295039999999998</v>
      </c>
      <c r="J110" s="123">
        <f t="shared" si="16"/>
        <v>11.436340046506668</v>
      </c>
      <c r="K110" s="123">
        <f t="shared" si="17"/>
        <v>4.3904000000000005</v>
      </c>
      <c r="L110" s="123">
        <f t="shared" si="18"/>
        <v>15.680000000000001</v>
      </c>
      <c r="M110" s="132">
        <f t="shared" si="22"/>
        <v>96.86287402325334</v>
      </c>
      <c r="N110" s="132">
        <f t="shared" si="19"/>
        <v>103.13487402325335</v>
      </c>
      <c r="O110" s="132">
        <f t="shared" si="20"/>
        <v>113.55704404650668</v>
      </c>
      <c r="P110" s="129"/>
      <c r="Q110" s="129"/>
      <c r="R110" s="129"/>
      <c r="S110" s="129"/>
      <c r="T110" s="133"/>
      <c r="U110" s="125"/>
      <c r="V110" s="126"/>
      <c r="W110" s="126"/>
      <c r="X110" s="126"/>
    </row>
    <row r="111" spans="1:24" x14ac:dyDescent="0.25">
      <c r="A111" s="1" t="str">
        <f>+'Pricing Turkey'!A93</f>
        <v>IT.58</v>
      </c>
      <c r="B111" s="75" t="str">
        <f>+'Pricing Turkey'!B93</f>
        <v>BOUTON PALIER</v>
      </c>
      <c r="C111" s="75" t="str">
        <f>+'Pricing Turkey'!C93</f>
        <v>BOUTONS</v>
      </c>
      <c r="D111" s="75" t="str">
        <f>+'Pricing Turkey'!D93</f>
        <v>Pc</v>
      </c>
      <c r="E111" s="75">
        <f>+'Pricing Turkey'!E93</f>
        <v>1</v>
      </c>
      <c r="F111" s="75" t="str">
        <f>+'Pricing Turkey'!F93</f>
        <v>INOX</v>
      </c>
      <c r="G111" s="123">
        <f>'Pricing Turkey'!G93*G$7</f>
        <v>40.18</v>
      </c>
      <c r="H111" s="123">
        <f t="shared" si="15"/>
        <v>8.13645</v>
      </c>
      <c r="I111" s="147">
        <f t="shared" si="21"/>
        <v>4.2470259999999991</v>
      </c>
      <c r="J111" s="123">
        <f t="shared" si="16"/>
        <v>7.3263147765733336</v>
      </c>
      <c r="K111" s="123">
        <f t="shared" si="17"/>
        <v>2.8126000000000002</v>
      </c>
      <c r="L111" s="123">
        <f t="shared" si="18"/>
        <v>10.045</v>
      </c>
      <c r="M111" s="132">
        <f t="shared" si="22"/>
        <v>62.052733388286676</v>
      </c>
      <c r="N111" s="132">
        <f t="shared" si="19"/>
        <v>66.070733388286669</v>
      </c>
      <c r="O111" s="132">
        <f t="shared" si="20"/>
        <v>72.747390776573326</v>
      </c>
      <c r="P111" s="129"/>
      <c r="Q111" s="129"/>
      <c r="R111" s="129"/>
      <c r="S111" s="129"/>
      <c r="T111" s="133"/>
      <c r="U111" s="125"/>
      <c r="V111" s="126"/>
      <c r="W111" s="126"/>
      <c r="X111" s="126"/>
    </row>
    <row r="112" spans="1:24" x14ac:dyDescent="0.25">
      <c r="A112" s="1" t="str">
        <f>+'Pricing Turkey'!A94</f>
        <v>IT.59</v>
      </c>
      <c r="B112" s="75" t="str">
        <f>+'Pricing Turkey'!B94</f>
        <v>INDICATEURS D’ATTERISSAGE</v>
      </c>
      <c r="C112" s="75" t="str">
        <f>+'Pricing Turkey'!C94</f>
        <v>AUTRES</v>
      </c>
      <c r="D112" s="75" t="str">
        <f>+'Pricing Turkey'!D94</f>
        <v>Pc</v>
      </c>
      <c r="E112" s="75">
        <f>+'Pricing Turkey'!E94</f>
        <v>1.2</v>
      </c>
      <c r="F112" s="75" t="str">
        <f>+'Pricing Turkey'!F94</f>
        <v>PVC</v>
      </c>
      <c r="G112" s="123">
        <f>'Pricing Turkey'!G94*G$7</f>
        <v>76.44</v>
      </c>
      <c r="H112" s="123">
        <f t="shared" si="15"/>
        <v>15.479100000000001</v>
      </c>
      <c r="I112" s="147">
        <f t="shared" si="21"/>
        <v>8.0797079999999983</v>
      </c>
      <c r="J112" s="123">
        <f t="shared" si="16"/>
        <v>13.938144307359998</v>
      </c>
      <c r="K112" s="123">
        <f t="shared" si="17"/>
        <v>5.3508000000000004</v>
      </c>
      <c r="L112" s="123">
        <f t="shared" si="18"/>
        <v>19.11</v>
      </c>
      <c r="M112" s="132">
        <f t="shared" si="22"/>
        <v>118.05168015368001</v>
      </c>
      <c r="N112" s="132">
        <f t="shared" si="19"/>
        <v>125.69568015368</v>
      </c>
      <c r="O112" s="132">
        <f t="shared" si="20"/>
        <v>138.39775230736001</v>
      </c>
      <c r="P112" s="129"/>
      <c r="Q112" s="129"/>
      <c r="R112" s="129"/>
      <c r="S112" s="129"/>
      <c r="T112" s="133"/>
      <c r="U112" s="125"/>
      <c r="V112" s="126"/>
      <c r="W112" s="126"/>
      <c r="X112" s="126"/>
    </row>
    <row r="113" spans="1:26" x14ac:dyDescent="0.25">
      <c r="A113" s="1" t="str">
        <f>+'Pricing Turkey'!A95</f>
        <v>IT.60</v>
      </c>
      <c r="B113" s="75" t="str">
        <f>+'Pricing Turkey'!B95</f>
        <v>BOÎTE D'ALARME</v>
      </c>
      <c r="C113" s="75" t="str">
        <f>+'Pricing Turkey'!C95</f>
        <v>AUTRES</v>
      </c>
      <c r="D113" s="75" t="str">
        <f>+'Pricing Turkey'!D95</f>
        <v>Pc</v>
      </c>
      <c r="E113" s="75">
        <f>+'Pricing Turkey'!E95</f>
        <v>1</v>
      </c>
      <c r="F113" s="75" t="str">
        <f>+'Pricing Turkey'!F95</f>
        <v>PVC</v>
      </c>
      <c r="G113" s="123">
        <f>'Pricing Turkey'!G95*G$7</f>
        <v>19.600000000000001</v>
      </c>
      <c r="H113" s="123">
        <f t="shared" si="15"/>
        <v>3.9690000000000007</v>
      </c>
      <c r="I113" s="147">
        <f t="shared" si="21"/>
        <v>2.07172</v>
      </c>
      <c r="J113" s="123">
        <f t="shared" si="16"/>
        <v>3.5737717493333339</v>
      </c>
      <c r="K113" s="123">
        <f t="shared" si="17"/>
        <v>1.3720000000000003</v>
      </c>
      <c r="L113" s="123">
        <f t="shared" si="18"/>
        <v>4.9000000000000004</v>
      </c>
      <c r="M113" s="132">
        <f t="shared" si="22"/>
        <v>30.269605874666667</v>
      </c>
      <c r="N113" s="132">
        <f t="shared" si="19"/>
        <v>32.229605874666667</v>
      </c>
      <c r="O113" s="132">
        <f t="shared" si="20"/>
        <v>35.486491749333339</v>
      </c>
      <c r="P113" s="129"/>
      <c r="Q113" s="129"/>
      <c r="R113" s="129"/>
      <c r="S113" s="129"/>
      <c r="T113" s="133"/>
      <c r="U113" s="125"/>
      <c r="V113" s="126"/>
      <c r="W113" s="126"/>
      <c r="X113" s="126"/>
    </row>
    <row r="114" spans="1:26" x14ac:dyDescent="0.25">
      <c r="A114" s="1" t="str">
        <f>+'Pricing Turkey'!A96</f>
        <v>IT.61</v>
      </c>
      <c r="B114" s="75" t="str">
        <f>+'Pricing Turkey'!B96</f>
        <v>BOUTON DE SECOURS</v>
      </c>
      <c r="C114" s="75" t="str">
        <f>+'Pricing Turkey'!C96</f>
        <v>AUTRES</v>
      </c>
      <c r="D114" s="75" t="str">
        <f>+'Pricing Turkey'!D96</f>
        <v>Pc</v>
      </c>
      <c r="E114" s="75">
        <f>+'Pricing Turkey'!E96</f>
        <v>0.4</v>
      </c>
      <c r="F114" s="75" t="str">
        <f>+'Pricing Turkey'!F96</f>
        <v>PVC</v>
      </c>
      <c r="G114" s="123">
        <f>'Pricing Turkey'!G96*G$7</f>
        <v>15.680000000000001</v>
      </c>
      <c r="H114" s="123">
        <f t="shared" si="15"/>
        <v>3.1752000000000007</v>
      </c>
      <c r="I114" s="147">
        <f t="shared" si="21"/>
        <v>1.657376</v>
      </c>
      <c r="J114" s="123">
        <f t="shared" si="16"/>
        <v>2.8590112529066669</v>
      </c>
      <c r="K114" s="123">
        <f t="shared" si="17"/>
        <v>1.0976000000000001</v>
      </c>
      <c r="L114" s="123">
        <f t="shared" si="18"/>
        <v>3.9200000000000004</v>
      </c>
      <c r="M114" s="132">
        <f t="shared" si="22"/>
        <v>24.215681626453339</v>
      </c>
      <c r="N114" s="132">
        <f t="shared" si="19"/>
        <v>25.783681626453337</v>
      </c>
      <c r="O114" s="132">
        <f t="shared" si="20"/>
        <v>28.38918725290667</v>
      </c>
      <c r="P114" s="129"/>
      <c r="Q114" s="129"/>
      <c r="R114" s="129"/>
      <c r="S114" s="129"/>
      <c r="T114" s="133"/>
      <c r="U114" s="125"/>
      <c r="V114" s="126"/>
      <c r="W114" s="126"/>
      <c r="X114" s="126"/>
    </row>
    <row r="115" spans="1:26" x14ac:dyDescent="0.25">
      <c r="A115" s="1" t="str">
        <f>+'Pricing Turkey'!A97</f>
        <v>IT.62</v>
      </c>
      <c r="B115" s="75" t="str">
        <f>+'Pricing Turkey'!B97</f>
        <v xml:space="preserve">ROLLER SWITCH </v>
      </c>
      <c r="C115" s="75" t="str">
        <f>+'Pricing Turkey'!C97</f>
        <v>AUTRES</v>
      </c>
      <c r="D115" s="75" t="str">
        <f>+'Pricing Turkey'!D97</f>
        <v>Pc</v>
      </c>
      <c r="E115" s="75">
        <f>+'Pricing Turkey'!E97</f>
        <v>0.6</v>
      </c>
      <c r="F115" s="75" t="str">
        <f>+'Pricing Turkey'!F97</f>
        <v>-</v>
      </c>
      <c r="G115" s="123">
        <f>'Pricing Turkey'!G97*G$7</f>
        <v>24.5</v>
      </c>
      <c r="H115" s="123">
        <f t="shared" si="15"/>
        <v>4.9612500000000006</v>
      </c>
      <c r="I115" s="147">
        <f t="shared" si="21"/>
        <v>2.5896499999999998</v>
      </c>
      <c r="J115" s="123">
        <f t="shared" si="16"/>
        <v>4.4672266916666663</v>
      </c>
      <c r="K115" s="123">
        <f t="shared" si="17"/>
        <v>1.7150000000000001</v>
      </c>
      <c r="L115" s="123">
        <f t="shared" si="18"/>
        <v>6.125</v>
      </c>
      <c r="M115" s="132">
        <f t="shared" si="22"/>
        <v>37.837013345833334</v>
      </c>
      <c r="N115" s="132">
        <f t="shared" si="19"/>
        <v>40.287013345833337</v>
      </c>
      <c r="O115" s="132">
        <f t="shared" si="20"/>
        <v>44.358126691666669</v>
      </c>
      <c r="P115" s="129"/>
      <c r="Q115" s="129"/>
      <c r="R115" s="129"/>
      <c r="S115" s="129"/>
      <c r="T115" s="133"/>
      <c r="U115" s="125"/>
      <c r="V115" s="126"/>
      <c r="W115" s="126"/>
      <c r="X115" s="126"/>
    </row>
    <row r="116" spans="1:26" x14ac:dyDescent="0.25">
      <c r="A116" s="1" t="str">
        <f>+'Pricing Turkey'!A98</f>
        <v>IT.63</v>
      </c>
      <c r="B116" s="75" t="str">
        <f>+'Pricing Turkey'!B98</f>
        <v>LIMIT SWITCH</v>
      </c>
      <c r="C116" s="75" t="str">
        <f>+'Pricing Turkey'!C98</f>
        <v>AUTRES</v>
      </c>
      <c r="D116" s="75" t="str">
        <f>+'Pricing Turkey'!D98</f>
        <v>Pc</v>
      </c>
      <c r="E116" s="75">
        <f>+'Pricing Turkey'!E98</f>
        <v>0.5</v>
      </c>
      <c r="F116" s="75" t="str">
        <f>+'Pricing Turkey'!F98</f>
        <v>-</v>
      </c>
      <c r="G116" s="123">
        <f>'Pricing Turkey'!G98*G$7</f>
        <v>0</v>
      </c>
      <c r="H116" s="123">
        <f t="shared" si="15"/>
        <v>0</v>
      </c>
      <c r="I116" s="147">
        <f t="shared" si="21"/>
        <v>0</v>
      </c>
      <c r="J116" s="123">
        <f t="shared" si="16"/>
        <v>0</v>
      </c>
      <c r="K116" s="123">
        <f t="shared" si="17"/>
        <v>0</v>
      </c>
      <c r="L116" s="123">
        <f t="shared" si="18"/>
        <v>0</v>
      </c>
      <c r="M116" s="132">
        <f t="shared" si="22"/>
        <v>0</v>
      </c>
      <c r="N116" s="132">
        <f t="shared" si="19"/>
        <v>0</v>
      </c>
      <c r="O116" s="132">
        <f t="shared" si="20"/>
        <v>0</v>
      </c>
      <c r="P116" s="129"/>
      <c r="Q116" s="129"/>
      <c r="R116" s="129"/>
      <c r="S116" s="129"/>
      <c r="T116" s="133"/>
      <c r="U116" s="125"/>
      <c r="V116" s="126"/>
      <c r="W116" s="126"/>
      <c r="X116" s="126"/>
    </row>
    <row r="117" spans="1:26" x14ac:dyDescent="0.25">
      <c r="A117" s="1" t="str">
        <f>+'Pricing Turkey'!A99</f>
        <v>IT.64</v>
      </c>
      <c r="B117" s="75" t="str">
        <f>+'Pricing Turkey'!B99</f>
        <v>PHOTOCELLULE</v>
      </c>
      <c r="C117" s="75" t="str">
        <f>+'Pricing Turkey'!C99</f>
        <v>AUTRES</v>
      </c>
      <c r="D117" s="75" t="str">
        <f>+'Pricing Turkey'!D99</f>
        <v>Pc</v>
      </c>
      <c r="E117" s="75">
        <f>+'Pricing Turkey'!E99</f>
        <v>0.8</v>
      </c>
      <c r="F117" s="75" t="str">
        <f>+'Pricing Turkey'!F99</f>
        <v>-</v>
      </c>
      <c r="G117" s="123">
        <f>'Pricing Turkey'!G99*G$7</f>
        <v>519.40000000000009</v>
      </c>
      <c r="H117" s="123">
        <f t="shared" ref="H117:H148" si="23">IF(F117="STEEL",MAX(G117,E117*13)*20.25%,IF(F117="GALVA",MAX(G117,E117*24)*20.25%,IF(F117="INOX",MAX(G117,E117*40)*20.25%,IF(F117="COPPER",MAX(G117,E117*60)*20.25%,G117*20.25%))))</f>
        <v>105.17850000000003</v>
      </c>
      <c r="I117" s="147">
        <f t="shared" si="21"/>
        <v>54.900580000000005</v>
      </c>
      <c r="J117" s="123">
        <f t="shared" ref="J117:J148" si="24">(J$9+J$7*G117)/($G$5*$H$5)*G117</f>
        <v>94.730910969333351</v>
      </c>
      <c r="K117" s="123">
        <f t="shared" ref="K117:K148" si="25">K$7*G117</f>
        <v>36.358000000000011</v>
      </c>
      <c r="L117" s="123">
        <f t="shared" ref="L117:L148" si="26">+G117*L$7</f>
        <v>129.85000000000002</v>
      </c>
      <c r="M117" s="132">
        <f t="shared" si="22"/>
        <v>802.15753548466682</v>
      </c>
      <c r="N117" s="132">
        <f t="shared" ref="N117:N148" si="27">+G117+H117+I117+J117*50%+K117+L117*70%</f>
        <v>854.09753548466676</v>
      </c>
      <c r="O117" s="132">
        <f t="shared" ref="O117:O148" si="28">+SUM(H117:L117)+G117</f>
        <v>940.41799096933346</v>
      </c>
      <c r="P117" s="129"/>
      <c r="Q117" s="129"/>
      <c r="R117" s="129"/>
      <c r="S117" s="129"/>
      <c r="T117" s="133"/>
      <c r="U117" s="125"/>
      <c r="V117" s="126"/>
      <c r="W117" s="126"/>
      <c r="X117" s="126"/>
    </row>
    <row r="118" spans="1:26" x14ac:dyDescent="0.25">
      <c r="A118" s="1" t="str">
        <f>+'Pricing Turkey'!A100</f>
        <v>IT.65</v>
      </c>
      <c r="B118" s="75" t="str">
        <f>+'Pricing Turkey'!B100</f>
        <v>OPERATEUR CARTE ARKEL KM-10</v>
      </c>
      <c r="C118" s="75" t="str">
        <f>+'Pricing Turkey'!C100</f>
        <v>AUTRES</v>
      </c>
      <c r="D118" s="75" t="str">
        <f>+'Pricing Turkey'!D100</f>
        <v>Pc</v>
      </c>
      <c r="E118" s="75">
        <f>+'Pricing Turkey'!E100</f>
        <v>3</v>
      </c>
      <c r="F118" s="75" t="str">
        <f>+'Pricing Turkey'!F100</f>
        <v>-</v>
      </c>
      <c r="G118" s="123">
        <f>'Pricing Turkey'!G100*G$7</f>
        <v>588</v>
      </c>
      <c r="H118" s="123">
        <f t="shared" si="23"/>
        <v>119.07000000000001</v>
      </c>
      <c r="I118" s="147">
        <f t="shared" si="21"/>
        <v>62.151599999999995</v>
      </c>
      <c r="J118" s="123">
        <f t="shared" si="24"/>
        <v>107.2465744</v>
      </c>
      <c r="K118" s="123">
        <f t="shared" si="25"/>
        <v>41.160000000000004</v>
      </c>
      <c r="L118" s="123">
        <f t="shared" si="26"/>
        <v>147</v>
      </c>
      <c r="M118" s="132">
        <f t="shared" si="22"/>
        <v>908.10488720000012</v>
      </c>
      <c r="N118" s="132">
        <f t="shared" si="27"/>
        <v>966.90488720000008</v>
      </c>
      <c r="O118" s="132">
        <f t="shared" si="28"/>
        <v>1064.6281744</v>
      </c>
      <c r="P118" s="129"/>
      <c r="Q118" s="129"/>
      <c r="R118" s="129"/>
      <c r="S118" s="129"/>
      <c r="T118" s="133"/>
      <c r="U118" s="125"/>
      <c r="V118" s="126"/>
      <c r="W118" s="126"/>
      <c r="X118" s="126"/>
    </row>
    <row r="119" spans="1:26" x14ac:dyDescent="0.25">
      <c r="A119" s="1" t="str">
        <f>+'Pricing Turkey'!A101</f>
        <v>IT.66</v>
      </c>
      <c r="B119" s="75" t="str">
        <f>+'Pricing Turkey'!B101</f>
        <v>OPERATEUR CARTE KM-10 COPY</v>
      </c>
      <c r="C119" s="75" t="str">
        <f>+'Pricing Turkey'!C101</f>
        <v>AUTRES</v>
      </c>
      <c r="D119" s="75" t="str">
        <f>+'Pricing Turkey'!D101</f>
        <v>Pc</v>
      </c>
      <c r="E119" s="75">
        <f>+'Pricing Turkey'!E101</f>
        <v>2.5</v>
      </c>
      <c r="F119" s="75" t="str">
        <f>+'Pricing Turkey'!F101</f>
        <v>-</v>
      </c>
      <c r="G119" s="123">
        <f>'Pricing Turkey'!G101*G$7</f>
        <v>352.8</v>
      </c>
      <c r="H119" s="123">
        <f t="shared" si="23"/>
        <v>71.442000000000007</v>
      </c>
      <c r="I119" s="147">
        <f t="shared" si="21"/>
        <v>37.290959999999998</v>
      </c>
      <c r="J119" s="123">
        <f t="shared" si="24"/>
        <v>64.33964678400001</v>
      </c>
      <c r="K119" s="123">
        <f t="shared" si="25"/>
        <v>24.696000000000002</v>
      </c>
      <c r="L119" s="123">
        <f t="shared" si="26"/>
        <v>88.2</v>
      </c>
      <c r="M119" s="132">
        <f t="shared" si="22"/>
        <v>544.85878339200008</v>
      </c>
      <c r="N119" s="132">
        <f t="shared" si="27"/>
        <v>580.13878339200005</v>
      </c>
      <c r="O119" s="132">
        <f t="shared" si="28"/>
        <v>638.76860678399999</v>
      </c>
      <c r="P119" s="129"/>
      <c r="Q119" s="129"/>
      <c r="R119" s="129"/>
      <c r="S119" s="129"/>
      <c r="T119" s="133"/>
      <c r="U119" s="125"/>
      <c r="V119" s="126"/>
      <c r="W119" s="126"/>
      <c r="X119" s="126"/>
    </row>
    <row r="120" spans="1:26" x14ac:dyDescent="0.25">
      <c r="A120" s="1" t="str">
        <f>+'Pricing Turkey'!A102</f>
        <v>IT.67</v>
      </c>
      <c r="B120" s="75" t="str">
        <f>+'Pricing Turkey'!B102</f>
        <v>REGULATEUR DE VITESSE VVVF 1,0M/S</v>
      </c>
      <c r="C120" s="75" t="str">
        <f>+'Pricing Turkey'!C102</f>
        <v>AUTRES</v>
      </c>
      <c r="D120" s="75" t="str">
        <f>+'Pricing Turkey'!D102</f>
        <v>Pc</v>
      </c>
      <c r="E120" s="75">
        <f>+'Pricing Turkey'!E102</f>
        <v>38</v>
      </c>
      <c r="F120" s="75" t="str">
        <f>+'Pricing Turkey'!F102</f>
        <v>GALVA</v>
      </c>
      <c r="G120" s="123">
        <f>'Pricing Turkey'!G102*G$7</f>
        <v>588</v>
      </c>
      <c r="H120" s="123">
        <f t="shared" si="23"/>
        <v>184.68</v>
      </c>
      <c r="I120" s="147">
        <f t="shared" si="21"/>
        <v>62.151599999999995</v>
      </c>
      <c r="J120" s="123">
        <f t="shared" si="24"/>
        <v>107.2465744</v>
      </c>
      <c r="K120" s="123">
        <f t="shared" si="25"/>
        <v>41.160000000000004</v>
      </c>
      <c r="L120" s="123">
        <f t="shared" si="26"/>
        <v>147</v>
      </c>
      <c r="M120" s="132">
        <f t="shared" si="22"/>
        <v>973.71488720000013</v>
      </c>
      <c r="N120" s="132">
        <f t="shared" si="27"/>
        <v>1032.5148872000002</v>
      </c>
      <c r="O120" s="132">
        <f t="shared" si="28"/>
        <v>1130.2381743999999</v>
      </c>
      <c r="P120" s="129"/>
      <c r="Q120" s="129"/>
      <c r="R120" s="129"/>
      <c r="S120" s="129"/>
      <c r="T120" s="133"/>
      <c r="U120" s="125"/>
      <c r="V120" s="126"/>
      <c r="W120" s="126"/>
      <c r="X120" s="126"/>
    </row>
    <row r="121" spans="1:26" x14ac:dyDescent="0.25">
      <c r="A121" s="1" t="str">
        <f>+'Pricing Turkey'!A103</f>
        <v>IT.68</v>
      </c>
      <c r="B121" s="75" t="str">
        <f>+'Pricing Turkey'!B103</f>
        <v>REGULATEUR DE VITESSE 2V  1,0M/S-0,8M/S</v>
      </c>
      <c r="C121" s="75" t="str">
        <f>+'Pricing Turkey'!C103</f>
        <v>AUTRES</v>
      </c>
      <c r="D121" s="75" t="str">
        <f>+'Pricing Turkey'!D103</f>
        <v>Pc</v>
      </c>
      <c r="E121" s="75">
        <f>+'Pricing Turkey'!E103</f>
        <v>42</v>
      </c>
      <c r="F121" s="75" t="str">
        <f>+'Pricing Turkey'!F103</f>
        <v>GALVA</v>
      </c>
      <c r="G121" s="123">
        <f>'Pricing Turkey'!G103*G$7</f>
        <v>553.70000000000005</v>
      </c>
      <c r="H121" s="123">
        <f t="shared" si="23"/>
        <v>204.12</v>
      </c>
      <c r="I121" s="147">
        <f t="shared" si="21"/>
        <v>58.526089999999996</v>
      </c>
      <c r="J121" s="123">
        <f t="shared" si="24"/>
        <v>100.98862503566667</v>
      </c>
      <c r="K121" s="123">
        <f t="shared" si="25"/>
        <v>38.759000000000007</v>
      </c>
      <c r="L121" s="123">
        <f t="shared" si="26"/>
        <v>138.42500000000001</v>
      </c>
      <c r="M121" s="132">
        <f t="shared" si="22"/>
        <v>947.1269025178334</v>
      </c>
      <c r="N121" s="132">
        <f t="shared" si="27"/>
        <v>1002.4969025178334</v>
      </c>
      <c r="O121" s="132">
        <f t="shared" si="28"/>
        <v>1094.5187150356667</v>
      </c>
      <c r="P121" s="129"/>
      <c r="Q121" s="129"/>
      <c r="R121" s="129"/>
      <c r="S121" s="129"/>
      <c r="T121" s="133"/>
      <c r="U121" s="125"/>
      <c r="V121" s="126"/>
      <c r="W121" s="126"/>
      <c r="X121" s="126"/>
    </row>
    <row r="122" spans="1:26" ht="30" x14ac:dyDescent="0.25">
      <c r="A122" s="1" t="str">
        <f>+'Pricing Turkey'!A104</f>
        <v>IT.69</v>
      </c>
      <c r="B122" s="75" t="str">
        <f>+'Pricing Turkey'!B104</f>
        <v>ARMOIRE VVVF EEM MONARCH + BOITE INSPECTION + ALARM MAX4 MAX6 MAX8</v>
      </c>
      <c r="C122" s="75" t="str">
        <f>+'Pricing Turkey'!C104</f>
        <v>ARMOIRE</v>
      </c>
      <c r="D122" s="75" t="str">
        <f>+'Pricing Turkey'!D104</f>
        <v>SET</v>
      </c>
      <c r="E122" s="75">
        <f>+'Pricing Turkey'!E104</f>
        <v>95</v>
      </c>
      <c r="F122" s="75" t="str">
        <f>+'Pricing Turkey'!F104</f>
        <v>-</v>
      </c>
      <c r="G122" s="123">
        <f>'Pricing Turkey'!G104*G$7</f>
        <v>6125</v>
      </c>
      <c r="H122" s="123">
        <f t="shared" si="23"/>
        <v>1240.3125</v>
      </c>
      <c r="I122" s="147">
        <f t="shared" si="21"/>
        <v>647.41249999999991</v>
      </c>
      <c r="J122" s="123">
        <f t="shared" si="24"/>
        <v>1120.5432291666666</v>
      </c>
      <c r="K122" s="123">
        <f t="shared" si="25"/>
        <v>428.75000000000006</v>
      </c>
      <c r="L122" s="123">
        <f t="shared" si="26"/>
        <v>1531.25</v>
      </c>
      <c r="M122" s="132">
        <f t="shared" si="22"/>
        <v>9461.1216145833332</v>
      </c>
      <c r="N122" s="132">
        <f t="shared" si="27"/>
        <v>10073.621614583333</v>
      </c>
      <c r="O122" s="132">
        <f t="shared" si="28"/>
        <v>11093.268229166666</v>
      </c>
      <c r="P122" s="129"/>
      <c r="Q122" s="129"/>
      <c r="R122" s="129"/>
      <c r="S122" s="129"/>
      <c r="T122" s="133"/>
      <c r="U122" s="125"/>
      <c r="V122" s="126"/>
      <c r="W122" s="126"/>
      <c r="X122" s="126"/>
    </row>
    <row r="123" spans="1:26" ht="30" x14ac:dyDescent="0.25">
      <c r="A123" s="1" t="str">
        <f>+'Pricing Turkey'!A105</f>
        <v>IT.70</v>
      </c>
      <c r="B123" s="75" t="str">
        <f>+'Pricing Turkey'!B105</f>
        <v>ARMOIRE VVVF EEM MONARCH + BOITE INSPECTION + ALARM MAX10</v>
      </c>
      <c r="C123" s="75" t="str">
        <f>+'Pricing Turkey'!C105</f>
        <v>ARMOIRE</v>
      </c>
      <c r="D123" s="75" t="str">
        <f>+'Pricing Turkey'!D105</f>
        <v>SET</v>
      </c>
      <c r="E123" s="75">
        <f>+'Pricing Turkey'!E105</f>
        <v>120</v>
      </c>
      <c r="F123" s="75" t="str">
        <f>+'Pricing Turkey'!F105</f>
        <v>-</v>
      </c>
      <c r="G123" s="123">
        <f>'Pricing Turkey'!G105*G$7</f>
        <v>6125</v>
      </c>
      <c r="H123" s="123">
        <f t="shared" si="23"/>
        <v>1240.3125</v>
      </c>
      <c r="I123" s="147">
        <f t="shared" si="21"/>
        <v>647.41249999999991</v>
      </c>
      <c r="J123" s="123">
        <f t="shared" si="24"/>
        <v>1120.5432291666666</v>
      </c>
      <c r="K123" s="123">
        <f t="shared" si="25"/>
        <v>428.75000000000006</v>
      </c>
      <c r="L123" s="123">
        <f t="shared" si="26"/>
        <v>1531.25</v>
      </c>
      <c r="M123" s="132">
        <f t="shared" si="22"/>
        <v>9461.1216145833332</v>
      </c>
      <c r="N123" s="132">
        <f t="shared" si="27"/>
        <v>10073.621614583333</v>
      </c>
      <c r="O123" s="132">
        <f t="shared" si="28"/>
        <v>11093.268229166666</v>
      </c>
      <c r="P123" s="129"/>
      <c r="Q123" s="129"/>
      <c r="R123" s="129"/>
      <c r="S123" s="129"/>
      <c r="T123" s="133"/>
      <c r="U123" s="125"/>
      <c r="V123" s="126"/>
      <c r="W123" s="126"/>
      <c r="X123" s="126"/>
    </row>
    <row r="124" spans="1:26" ht="30" x14ac:dyDescent="0.25">
      <c r="A124" s="1" t="str">
        <f>+'Pricing Turkey'!A106</f>
        <v>IT.71</v>
      </c>
      <c r="B124" s="75" t="str">
        <f>+'Pricing Turkey'!B106</f>
        <v>ARMOIRE 2V EEM + BOITE INSPECTION + ALARM MAX4 MAX6 MAX8</v>
      </c>
      <c r="C124" s="75" t="str">
        <f>+'Pricing Turkey'!C106</f>
        <v>ARMOIRE</v>
      </c>
      <c r="D124" s="75" t="str">
        <f>+'Pricing Turkey'!D106</f>
        <v>SET</v>
      </c>
      <c r="E124" s="75">
        <f>+'Pricing Turkey'!E106</f>
        <v>110</v>
      </c>
      <c r="F124" s="75" t="str">
        <f>+'Pricing Turkey'!F106</f>
        <v>-</v>
      </c>
      <c r="G124" s="123">
        <f>'Pricing Turkey'!G106*G$7</f>
        <v>3724.0000000000005</v>
      </c>
      <c r="H124" s="123">
        <f t="shared" si="23"/>
        <v>754.11000000000013</v>
      </c>
      <c r="I124" s="147">
        <f t="shared" si="21"/>
        <v>393.6268</v>
      </c>
      <c r="J124" s="123">
        <f t="shared" si="24"/>
        <v>680.3961509333335</v>
      </c>
      <c r="K124" s="123">
        <f t="shared" si="25"/>
        <v>260.68000000000006</v>
      </c>
      <c r="L124" s="123">
        <f t="shared" si="26"/>
        <v>931.00000000000011</v>
      </c>
      <c r="M124" s="132">
        <f t="shared" si="22"/>
        <v>5751.9148754666676</v>
      </c>
      <c r="N124" s="132">
        <f t="shared" si="27"/>
        <v>6124.3148754666672</v>
      </c>
      <c r="O124" s="132">
        <f t="shared" si="28"/>
        <v>6743.8129509333339</v>
      </c>
      <c r="P124" s="129"/>
      <c r="Q124" s="129"/>
      <c r="R124" s="129"/>
      <c r="S124" s="129"/>
      <c r="T124" s="133"/>
      <c r="U124" s="125"/>
      <c r="V124" s="126"/>
      <c r="W124" s="126"/>
      <c r="X124" s="126"/>
    </row>
    <row r="125" spans="1:26" ht="30" x14ac:dyDescent="0.25">
      <c r="A125" s="1" t="str">
        <f>+'Pricing Turkey'!A107</f>
        <v>IT.72</v>
      </c>
      <c r="B125" s="75" t="str">
        <f>+'Pricing Turkey'!B107</f>
        <v>ARMOIRE 2V EEM + BOITE INSPECTION + ALARM MAX10</v>
      </c>
      <c r="C125" s="75" t="str">
        <f>+'Pricing Turkey'!C107</f>
        <v>ARMOIRE</v>
      </c>
      <c r="D125" s="75" t="str">
        <f>+'Pricing Turkey'!D107</f>
        <v>SET</v>
      </c>
      <c r="E125" s="75">
        <f>+'Pricing Turkey'!E107</f>
        <v>135</v>
      </c>
      <c r="F125" s="75" t="str">
        <f>+'Pricing Turkey'!F107</f>
        <v>-</v>
      </c>
      <c r="G125" s="123">
        <f>'Pricing Turkey'!G107*G$7</f>
        <v>3724.0000000000005</v>
      </c>
      <c r="H125" s="123">
        <f t="shared" si="23"/>
        <v>754.11000000000013</v>
      </c>
      <c r="I125" s="147">
        <f t="shared" si="21"/>
        <v>393.6268</v>
      </c>
      <c r="J125" s="123">
        <f t="shared" si="24"/>
        <v>680.3961509333335</v>
      </c>
      <c r="K125" s="123">
        <f t="shared" si="25"/>
        <v>260.68000000000006</v>
      </c>
      <c r="L125" s="123">
        <f t="shared" si="26"/>
        <v>931.00000000000011</v>
      </c>
      <c r="M125" s="132">
        <f t="shared" si="22"/>
        <v>5751.9148754666676</v>
      </c>
      <c r="N125" s="132">
        <f t="shared" si="27"/>
        <v>6124.3148754666672</v>
      </c>
      <c r="O125" s="132">
        <f t="shared" si="28"/>
        <v>6743.8129509333339</v>
      </c>
      <c r="P125" s="129"/>
      <c r="Q125" s="129"/>
      <c r="R125" s="129"/>
      <c r="S125" s="129"/>
      <c r="T125" s="133"/>
      <c r="U125" s="125"/>
      <c r="V125" s="126"/>
      <c r="W125" s="126"/>
      <c r="X125" s="126"/>
    </row>
    <row r="126" spans="1:26" x14ac:dyDescent="0.25">
      <c r="A126" s="1" t="str">
        <f>+'Pricing Turkey'!A108</f>
        <v>IT.73</v>
      </c>
      <c r="B126" s="75" t="str">
        <f>+'Pricing Turkey'!B108</f>
        <v>UPS</v>
      </c>
      <c r="C126" s="75" t="str">
        <f>+'Pricing Turkey'!C108</f>
        <v>AUTRES</v>
      </c>
      <c r="D126" s="75" t="str">
        <f>+'Pricing Turkey'!D108</f>
        <v>Pc</v>
      </c>
      <c r="E126" s="75">
        <f>+'Pricing Turkey'!E108</f>
        <v>25</v>
      </c>
      <c r="F126" s="75" t="str">
        <f>+'Pricing Turkey'!F108</f>
        <v>-</v>
      </c>
      <c r="G126" s="123">
        <f>'Pricing Turkey'!G108*G$7</f>
        <v>735</v>
      </c>
      <c r="H126" s="123">
        <f t="shared" si="23"/>
        <v>148.83750000000001</v>
      </c>
      <c r="I126" s="147">
        <f t="shared" si="21"/>
        <v>77.689499999999995</v>
      </c>
      <c r="J126" s="123">
        <f t="shared" si="24"/>
        <v>134.06902250000002</v>
      </c>
      <c r="K126" s="123">
        <f t="shared" si="25"/>
        <v>51.45</v>
      </c>
      <c r="L126" s="123">
        <f t="shared" si="26"/>
        <v>183.75</v>
      </c>
      <c r="M126" s="132">
        <f t="shared" si="22"/>
        <v>1135.13651125</v>
      </c>
      <c r="N126" s="132">
        <f t="shared" si="27"/>
        <v>1208.63651125</v>
      </c>
      <c r="O126" s="132">
        <f t="shared" si="28"/>
        <v>1330.7960224999999</v>
      </c>
      <c r="P126" s="129"/>
      <c r="Q126" s="129"/>
      <c r="R126" s="129"/>
      <c r="S126" s="129"/>
      <c r="T126" s="133"/>
      <c r="U126" s="125"/>
      <c r="V126" s="126"/>
      <c r="W126" s="126"/>
      <c r="X126" s="126"/>
    </row>
    <row r="127" spans="1:26" s="193" customFormat="1" ht="30" x14ac:dyDescent="0.25">
      <c r="A127" s="1" t="str">
        <f>+'Pricing Turkey'!A109</f>
        <v>IT.74</v>
      </c>
      <c r="B127" s="75" t="str">
        <f>+'Pricing Turkey'!B109</f>
        <v>CHASSIS MOTEUR STANDARD VVVF 2V AVEC CYLINBLOC</v>
      </c>
      <c r="C127" s="75" t="str">
        <f>+'Pricing Turkey'!C109</f>
        <v>MOTEUR</v>
      </c>
      <c r="D127" s="75" t="str">
        <f>+'Pricing Turkey'!D109</f>
        <v>SET</v>
      </c>
      <c r="E127" s="75">
        <f>+'Pricing Turkey'!E109</f>
        <v>75</v>
      </c>
      <c r="F127" s="75" t="e">
        <f>+'Pricing Turkey'!#REF!</f>
        <v>#REF!</v>
      </c>
      <c r="G127" s="123">
        <f>'Pricing Turkey'!G109*G$7</f>
        <v>539</v>
      </c>
      <c r="H127" s="123" t="e">
        <f t="shared" si="23"/>
        <v>#REF!</v>
      </c>
      <c r="I127" s="147">
        <f t="shared" si="21"/>
        <v>56.972299999999997</v>
      </c>
      <c r="J127" s="186">
        <f t="shared" si="24"/>
        <v>98.306718766666663</v>
      </c>
      <c r="K127" s="186">
        <f t="shared" si="25"/>
        <v>37.730000000000004</v>
      </c>
      <c r="L127" s="186">
        <f t="shared" si="26"/>
        <v>134.75</v>
      </c>
      <c r="M127" s="132" t="e">
        <f t="shared" si="22"/>
        <v>#REF!</v>
      </c>
      <c r="N127" s="187" t="e">
        <f t="shared" si="27"/>
        <v>#REF!</v>
      </c>
      <c r="O127" s="187" t="e">
        <f t="shared" si="28"/>
        <v>#REF!</v>
      </c>
      <c r="P127" s="188"/>
      <c r="Q127" s="188"/>
      <c r="R127" s="188"/>
      <c r="S127" s="188"/>
      <c r="T127" s="189"/>
      <c r="U127" s="190"/>
      <c r="V127" s="191"/>
      <c r="W127" s="191"/>
      <c r="X127" s="191"/>
      <c r="Y127" s="192"/>
      <c r="Z127" s="192"/>
    </row>
    <row r="128" spans="1:26" s="193" customFormat="1" x14ac:dyDescent="0.25">
      <c r="A128" s="1" t="str">
        <f>+'Pricing Turkey'!A110</f>
        <v>IT.75</v>
      </c>
      <c r="B128" s="75" t="str">
        <f>+'Pricing Turkey'!B110</f>
        <v>CHASSIS MOTEUR GEARLESS</v>
      </c>
      <c r="C128" s="75" t="str">
        <f>+'Pricing Turkey'!C110</f>
        <v>MOTEUR</v>
      </c>
      <c r="D128" s="75" t="str">
        <f>+'Pricing Turkey'!D110</f>
        <v>SET</v>
      </c>
      <c r="E128" s="75">
        <f>+'Pricing Turkey'!E110</f>
        <v>260</v>
      </c>
      <c r="F128" s="75" t="str">
        <f>+'Pricing Turkey'!F110</f>
        <v>STEEL</v>
      </c>
      <c r="G128" s="123">
        <f>'Pricing Turkey'!G110*G$7</f>
        <v>2450</v>
      </c>
      <c r="H128" s="123">
        <f t="shared" si="23"/>
        <v>684.45</v>
      </c>
      <c r="I128" s="147">
        <f t="shared" si="21"/>
        <v>258.96499999999997</v>
      </c>
      <c r="J128" s="186">
        <f t="shared" si="24"/>
        <v>447.31691666666671</v>
      </c>
      <c r="K128" s="186">
        <f t="shared" si="25"/>
        <v>171.50000000000003</v>
      </c>
      <c r="L128" s="186">
        <f t="shared" si="26"/>
        <v>612.5</v>
      </c>
      <c r="M128" s="132">
        <f t="shared" si="22"/>
        <v>3972.3234583333333</v>
      </c>
      <c r="N128" s="187">
        <f t="shared" si="27"/>
        <v>4217.3234583333333</v>
      </c>
      <c r="O128" s="187">
        <f t="shared" si="28"/>
        <v>4624.7319166666666</v>
      </c>
      <c r="P128" s="188"/>
      <c r="Q128" s="188"/>
      <c r="R128" s="188"/>
      <c r="S128" s="188"/>
      <c r="T128" s="189"/>
      <c r="U128" s="190"/>
      <c r="V128" s="191"/>
      <c r="W128" s="191"/>
      <c r="X128" s="191"/>
      <c r="Y128" s="192"/>
      <c r="Z128" s="192"/>
    </row>
    <row r="129" spans="1:15" ht="30" x14ac:dyDescent="0.25">
      <c r="A129" s="1" t="str">
        <f>+'Pricing Turkey'!A111</f>
        <v>IT.76</v>
      </c>
      <c r="B129" s="75" t="str">
        <f>+'Pricing Turkey'!B111</f>
        <v>ARMOIRE GEARLESS EEM + BOITE INSPECTION + ALARM MAX4 MAX6 MAX8</v>
      </c>
      <c r="C129" s="75" t="str">
        <f>+'Pricing Turkey'!C111</f>
        <v>ARMOIRE</v>
      </c>
      <c r="D129" s="75" t="str">
        <f>+'Pricing Turkey'!D111</f>
        <v>SET</v>
      </c>
      <c r="E129" s="75">
        <f>+'Pricing Turkey'!E111</f>
        <v>32</v>
      </c>
      <c r="F129" s="75" t="str">
        <f>+'Pricing Turkey'!F111</f>
        <v>-</v>
      </c>
      <c r="G129" s="123">
        <f>'Pricing Turkey'!G111*G$7</f>
        <v>7154.0000000000009</v>
      </c>
      <c r="H129" s="123">
        <f t="shared" si="23"/>
        <v>1448.6850000000002</v>
      </c>
      <c r="I129" s="147">
        <f t="shared" si="21"/>
        <v>756.17780000000005</v>
      </c>
      <c r="J129" s="123">
        <f t="shared" si="24"/>
        <v>1309.530638266667</v>
      </c>
      <c r="K129" s="123">
        <f t="shared" si="25"/>
        <v>500.78000000000009</v>
      </c>
      <c r="L129" s="123">
        <f t="shared" si="26"/>
        <v>1788.5000000000002</v>
      </c>
      <c r="M129" s="132">
        <f t="shared" si="22"/>
        <v>11050.958119133335</v>
      </c>
      <c r="N129" s="132">
        <f t="shared" si="27"/>
        <v>11766.358119133336</v>
      </c>
      <c r="O129" s="132">
        <f t="shared" si="28"/>
        <v>12957.673438266669</v>
      </c>
    </row>
    <row r="130" spans="1:15" ht="30" x14ac:dyDescent="0.25">
      <c r="A130" s="1" t="str">
        <f>+'Pricing Turkey'!A112</f>
        <v>IT.77</v>
      </c>
      <c r="B130" s="75" t="str">
        <f>+'Pricing Turkey'!B112</f>
        <v>ARMOIRE GEARLESS EEM + BOITE INSPECTION + ALARM MAX10</v>
      </c>
      <c r="C130" s="75" t="str">
        <f>+'Pricing Turkey'!C112</f>
        <v>ARMOIRE</v>
      </c>
      <c r="D130" s="75" t="str">
        <f>+'Pricing Turkey'!D112</f>
        <v>SET</v>
      </c>
      <c r="E130" s="75">
        <f>+'Pricing Turkey'!E112</f>
        <v>260</v>
      </c>
      <c r="F130" s="75" t="str">
        <f>+'Pricing Turkey'!F112</f>
        <v>-</v>
      </c>
      <c r="G130" s="123">
        <f>'Pricing Turkey'!G112*G$7</f>
        <v>7154.0000000000009</v>
      </c>
      <c r="H130" s="123">
        <f t="shared" si="23"/>
        <v>1448.6850000000002</v>
      </c>
      <c r="I130" s="147">
        <f t="shared" si="21"/>
        <v>756.17780000000005</v>
      </c>
      <c r="J130" s="123">
        <f t="shared" si="24"/>
        <v>1309.530638266667</v>
      </c>
      <c r="K130" s="123">
        <f t="shared" si="25"/>
        <v>500.78000000000009</v>
      </c>
      <c r="L130" s="123">
        <f t="shared" si="26"/>
        <v>1788.5000000000002</v>
      </c>
      <c r="M130" s="132">
        <f t="shared" si="22"/>
        <v>11050.958119133335</v>
      </c>
      <c r="N130" s="132">
        <f t="shared" si="27"/>
        <v>11766.358119133336</v>
      </c>
      <c r="O130" s="132">
        <f t="shared" si="28"/>
        <v>12957.673438266669</v>
      </c>
    </row>
    <row r="131" spans="1:15" x14ac:dyDescent="0.25">
      <c r="A131" s="1" t="str">
        <f>+'Pricing Turkey'!A113</f>
        <v>IT.78</v>
      </c>
      <c r="B131" s="75" t="str">
        <f>+'Pricing Turkey'!B113</f>
        <v>OPERATEUR 60CM ATERYA</v>
      </c>
      <c r="C131" s="75" t="str">
        <f>+'Pricing Turkey'!C113</f>
        <v>OPÉRATEUR</v>
      </c>
      <c r="D131" s="75" t="str">
        <f>+'Pricing Turkey'!D113</f>
        <v>Pc</v>
      </c>
      <c r="E131" s="75">
        <f>+'Pricing Turkey'!E113</f>
        <v>1.5</v>
      </c>
      <c r="F131" s="75" t="str">
        <f>+'Pricing Turkey'!F113</f>
        <v>INOX</v>
      </c>
      <c r="G131" s="123">
        <f>'Pricing Turkey'!G113*G$7</f>
        <v>3920.0000000000005</v>
      </c>
      <c r="H131" s="123">
        <f t="shared" si="23"/>
        <v>793.80000000000018</v>
      </c>
      <c r="I131" s="147">
        <f t="shared" si="21"/>
        <v>414.34399999999999</v>
      </c>
      <c r="J131" s="123">
        <f t="shared" si="24"/>
        <v>716.2833066666667</v>
      </c>
      <c r="K131" s="123">
        <f t="shared" si="25"/>
        <v>274.40000000000003</v>
      </c>
      <c r="L131" s="123">
        <f t="shared" si="26"/>
        <v>980.00000000000011</v>
      </c>
      <c r="M131" s="132">
        <f t="shared" si="22"/>
        <v>6054.6856533333339</v>
      </c>
      <c r="N131" s="132">
        <f t="shared" si="27"/>
        <v>6446.6856533333339</v>
      </c>
      <c r="O131" s="132">
        <f t="shared" si="28"/>
        <v>7098.8273066666679</v>
      </c>
    </row>
    <row r="132" spans="1:15" x14ac:dyDescent="0.25">
      <c r="A132" s="1" t="str">
        <f>+'Pricing Turkey'!A114</f>
        <v>IT.79</v>
      </c>
      <c r="B132" s="75" t="str">
        <f>+'Pricing Turkey'!B114</f>
        <v>CABINE 90*62CM</v>
      </c>
      <c r="C132" s="75" t="str">
        <f>+'Pricing Turkey'!C114</f>
        <v>CABINE &amp; ARCADE</v>
      </c>
      <c r="D132" s="75" t="str">
        <f>+'Pricing Turkey'!D114</f>
        <v>Pc</v>
      </c>
      <c r="E132" s="75">
        <f>+'Pricing Turkey'!E114</f>
        <v>420</v>
      </c>
      <c r="F132" s="75" t="str">
        <f>+'Pricing Turkey'!F114</f>
        <v>INOX</v>
      </c>
      <c r="G132" s="123">
        <f>'Pricing Turkey'!G114*G$7</f>
        <v>8820</v>
      </c>
      <c r="H132" s="123">
        <f t="shared" si="23"/>
        <v>3402</v>
      </c>
      <c r="I132" s="147">
        <f t="shared" si="21"/>
        <v>932.27399999999989</v>
      </c>
      <c r="J132" s="123">
        <f t="shared" si="24"/>
        <v>1615.9592400000001</v>
      </c>
      <c r="K132" s="123">
        <f t="shared" si="25"/>
        <v>617.40000000000009</v>
      </c>
      <c r="L132" s="123">
        <f t="shared" si="26"/>
        <v>2205</v>
      </c>
      <c r="M132" s="132">
        <f t="shared" si="22"/>
        <v>15241.153619999999</v>
      </c>
      <c r="N132" s="132">
        <f t="shared" si="27"/>
        <v>16123.153619999999</v>
      </c>
      <c r="O132" s="132">
        <f t="shared" si="28"/>
        <v>17592.633239999999</v>
      </c>
    </row>
    <row r="133" spans="1:15" x14ac:dyDescent="0.25">
      <c r="A133" s="1" t="str">
        <f>+'Pricing Turkey'!A115</f>
        <v>IT.80</v>
      </c>
      <c r="B133" s="75" t="str">
        <f>+'Pricing Turkey'!B115</f>
        <v>CALIBTEURS FIN DE COURSE</v>
      </c>
      <c r="C133" s="75" t="str">
        <f>+'Pricing Turkey'!C115</f>
        <v>AUTRES</v>
      </c>
      <c r="D133" s="75" t="str">
        <f>+'Pricing Turkey'!D115</f>
        <v>Pc</v>
      </c>
      <c r="E133" s="75">
        <f>+'Pricing Turkey'!E115</f>
        <v>1</v>
      </c>
      <c r="F133" s="75" t="str">
        <f>+'Pricing Turkey'!F115</f>
        <v>GALVA</v>
      </c>
      <c r="G133" s="123">
        <f>'Pricing Turkey'!G115*G$7</f>
        <v>39.200000000000003</v>
      </c>
      <c r="H133" s="123">
        <f t="shared" si="23"/>
        <v>7.9380000000000015</v>
      </c>
      <c r="I133" s="147">
        <f t="shared" si="21"/>
        <v>4.14344</v>
      </c>
      <c r="J133" s="123">
        <f t="shared" si="24"/>
        <v>7.1476203306666672</v>
      </c>
      <c r="K133" s="123">
        <f t="shared" si="25"/>
        <v>2.7440000000000007</v>
      </c>
      <c r="L133" s="123">
        <f t="shared" si="26"/>
        <v>9.8000000000000007</v>
      </c>
      <c r="M133" s="132">
        <f t="shared" si="22"/>
        <v>60.539250165333335</v>
      </c>
      <c r="N133" s="132">
        <f t="shared" si="27"/>
        <v>64.459250165333344</v>
      </c>
      <c r="O133" s="132">
        <f t="shared" si="28"/>
        <v>70.973060330666669</v>
      </c>
    </row>
    <row r="134" spans="1:15" x14ac:dyDescent="0.25">
      <c r="A134" s="1" t="str">
        <f>+'Pricing Turkey'!A116</f>
        <v>IT.81</v>
      </c>
      <c r="B134" s="75" t="str">
        <f>+'Pricing Turkey'!B116</f>
        <v>GOSE 76CM - 31KG</v>
      </c>
      <c r="C134" s="75" t="str">
        <f>+'Pricing Turkey'!C116</f>
        <v>GOSE</v>
      </c>
      <c r="D134" s="75" t="str">
        <f>+'Pricing Turkey'!D116</f>
        <v>Pc</v>
      </c>
      <c r="E134" s="75">
        <f>+'Pricing Turkey'!E116</f>
        <v>31</v>
      </c>
      <c r="F134" s="75" t="str">
        <f>+'Pricing Turkey'!F116</f>
        <v>CONCRETE</v>
      </c>
      <c r="G134" s="123">
        <f>'Pricing Turkey'!G116*G$7</f>
        <v>42.532000000000004</v>
      </c>
      <c r="H134" s="123">
        <f t="shared" si="23"/>
        <v>8.6127300000000009</v>
      </c>
      <c r="I134" s="147">
        <f t="shared" si="21"/>
        <v>4.4956323999999999</v>
      </c>
      <c r="J134" s="123">
        <f t="shared" si="24"/>
        <v>7.7551822304357332</v>
      </c>
      <c r="K134" s="123">
        <f t="shared" si="25"/>
        <v>2.9772400000000006</v>
      </c>
      <c r="L134" s="123">
        <f t="shared" si="26"/>
        <v>10.633000000000001</v>
      </c>
      <c r="M134" s="132">
        <f>+G134+H134+I134+J134*50%+K134+L134*60%</f>
        <v>68.874993515217867</v>
      </c>
      <c r="N134" s="132">
        <f>+G134+H134+I134+J134*50%+K134+L134*75%</f>
        <v>70.469943515217864</v>
      </c>
      <c r="O134" s="132">
        <f t="shared" si="28"/>
        <v>77.005784630435741</v>
      </c>
    </row>
    <row r="135" spans="1:15" x14ac:dyDescent="0.25">
      <c r="A135" s="1" t="str">
        <f>+'Pricing Turkey'!A117</f>
        <v>IT.82</v>
      </c>
      <c r="B135" s="75" t="str">
        <f>+'Pricing Turkey'!B117</f>
        <v>MOTEUR PRIMO 2V MAX4 + CHASSIS</v>
      </c>
      <c r="C135" s="75" t="str">
        <f>+'Pricing Turkey'!C117</f>
        <v>MOTEUR</v>
      </c>
      <c r="D135" s="75" t="str">
        <f>+'Pricing Turkey'!D117</f>
        <v>Pc</v>
      </c>
      <c r="E135" s="75">
        <f>+'Pricing Turkey'!E117</f>
        <v>560</v>
      </c>
      <c r="F135" s="75">
        <f>+'Pricing Turkey'!F117</f>
        <v>0</v>
      </c>
      <c r="G135" s="123" t="e">
        <f>'Pricing Turkey'!G117*G$7</f>
        <v>#VALUE!</v>
      </c>
      <c r="H135" s="123" t="e">
        <f t="shared" si="23"/>
        <v>#VALUE!</v>
      </c>
      <c r="I135" s="147" t="e">
        <f t="shared" si="21"/>
        <v>#VALUE!</v>
      </c>
      <c r="J135" s="123" t="e">
        <f t="shared" si="24"/>
        <v>#VALUE!</v>
      </c>
      <c r="K135" s="123" t="e">
        <f t="shared" si="25"/>
        <v>#VALUE!</v>
      </c>
      <c r="L135" s="123" t="e">
        <f t="shared" si="26"/>
        <v>#VALUE!</v>
      </c>
      <c r="M135" s="132" t="e">
        <f>+G135+H135+I135+J135*50%+K135+L135*60%</f>
        <v>#VALUE!</v>
      </c>
      <c r="N135" s="132" t="e">
        <f>+G135+H135+I135+J135*50%+K135+L135*75%</f>
        <v>#VALUE!</v>
      </c>
      <c r="O135" s="132" t="e">
        <f t="shared" si="28"/>
        <v>#VALUE!</v>
      </c>
    </row>
    <row r="136" spans="1:15" x14ac:dyDescent="0.25">
      <c r="A136" s="1" t="str">
        <f>+'Pricing Turkey'!A118</f>
        <v>IT.83</v>
      </c>
      <c r="B136" s="75" t="str">
        <f>+'Pricing Turkey'!B118</f>
        <v>MOTEUR PRIMO 2V MAX6 + CHASSIS</v>
      </c>
      <c r="C136" s="75" t="str">
        <f>+'Pricing Turkey'!C118</f>
        <v>MOTEUR</v>
      </c>
      <c r="D136" s="75" t="str">
        <f>+'Pricing Turkey'!D118</f>
        <v>Pc</v>
      </c>
      <c r="E136" s="75">
        <f>+'Pricing Turkey'!E118</f>
        <v>140</v>
      </c>
      <c r="F136" s="75">
        <f>+'Pricing Turkey'!F118</f>
        <v>0</v>
      </c>
      <c r="G136" s="123" t="e">
        <f>'Pricing Turkey'!G118*G$7</f>
        <v>#VALUE!</v>
      </c>
      <c r="H136" s="123" t="e">
        <f t="shared" si="23"/>
        <v>#VALUE!</v>
      </c>
      <c r="I136" s="147" t="e">
        <f t="shared" si="21"/>
        <v>#VALUE!</v>
      </c>
      <c r="J136" s="123" t="e">
        <f t="shared" si="24"/>
        <v>#VALUE!</v>
      </c>
      <c r="K136" s="123" t="e">
        <f t="shared" si="25"/>
        <v>#VALUE!</v>
      </c>
      <c r="L136" s="123" t="e">
        <f t="shared" si="26"/>
        <v>#VALUE!</v>
      </c>
      <c r="M136" s="132" t="e">
        <f t="shared" si="22"/>
        <v>#VALUE!</v>
      </c>
      <c r="N136" s="132" t="e">
        <f t="shared" si="27"/>
        <v>#VALUE!</v>
      </c>
      <c r="O136" s="132" t="e">
        <f t="shared" si="28"/>
        <v>#VALUE!</v>
      </c>
    </row>
    <row r="137" spans="1:15" x14ac:dyDescent="0.25">
      <c r="A137" s="1" t="str">
        <f>+'Pricing Turkey'!A119</f>
        <v>IT.84</v>
      </c>
      <c r="B137" s="75" t="str">
        <f>+'Pricing Turkey'!B119</f>
        <v>MOTEUR PRIMO 2V MAX8 + CHASSIS</v>
      </c>
      <c r="C137" s="75" t="str">
        <f>+'Pricing Turkey'!C119</f>
        <v>MOTEUR</v>
      </c>
      <c r="D137" s="75" t="str">
        <f>+'Pricing Turkey'!D119</f>
        <v>Pc</v>
      </c>
      <c r="E137" s="75">
        <f>+'Pricing Turkey'!E119</f>
        <v>135</v>
      </c>
      <c r="F137" s="75">
        <f>+'Pricing Turkey'!F119</f>
        <v>0</v>
      </c>
      <c r="G137" s="123" t="e">
        <f>'Pricing Turkey'!G119*G$7</f>
        <v>#VALUE!</v>
      </c>
      <c r="H137" s="123" t="e">
        <f t="shared" si="23"/>
        <v>#VALUE!</v>
      </c>
      <c r="I137" s="147" t="e">
        <f t="shared" si="21"/>
        <v>#VALUE!</v>
      </c>
      <c r="J137" s="123" t="e">
        <f t="shared" si="24"/>
        <v>#VALUE!</v>
      </c>
      <c r="K137" s="123" t="e">
        <f t="shared" si="25"/>
        <v>#VALUE!</v>
      </c>
      <c r="L137" s="123" t="e">
        <f t="shared" si="26"/>
        <v>#VALUE!</v>
      </c>
      <c r="M137" s="132" t="e">
        <f t="shared" si="22"/>
        <v>#VALUE!</v>
      </c>
      <c r="N137" s="132" t="e">
        <f t="shared" si="27"/>
        <v>#VALUE!</v>
      </c>
      <c r="O137" s="132" t="e">
        <f t="shared" si="28"/>
        <v>#VALUE!</v>
      </c>
    </row>
    <row r="138" spans="1:15" x14ac:dyDescent="0.25">
      <c r="A138" s="1" t="str">
        <f>+'Pricing Turkey'!A120</f>
        <v>IT.85</v>
      </c>
      <c r="B138" s="75" t="str">
        <f>+'Pricing Turkey'!B120</f>
        <v>MOTEUR PRIMO 2V MAX10 + CHASSIS</v>
      </c>
      <c r="C138" s="75" t="str">
        <f>+'Pricing Turkey'!C120</f>
        <v>MOTEUR</v>
      </c>
      <c r="D138" s="75" t="str">
        <f>+'Pricing Turkey'!D120</f>
        <v>Pc</v>
      </c>
      <c r="E138" s="75">
        <f>+'Pricing Turkey'!E120</f>
        <v>35</v>
      </c>
      <c r="F138" s="75">
        <f>+'Pricing Turkey'!F120</f>
        <v>0</v>
      </c>
      <c r="G138" s="123" t="e">
        <f>'Pricing Turkey'!G120*G$7</f>
        <v>#VALUE!</v>
      </c>
      <c r="H138" s="123" t="e">
        <f t="shared" si="23"/>
        <v>#VALUE!</v>
      </c>
      <c r="I138" s="147" t="e">
        <f t="shared" si="21"/>
        <v>#VALUE!</v>
      </c>
      <c r="J138" s="123" t="e">
        <f t="shared" si="24"/>
        <v>#VALUE!</v>
      </c>
      <c r="K138" s="123" t="e">
        <f t="shared" si="25"/>
        <v>#VALUE!</v>
      </c>
      <c r="L138" s="123" t="e">
        <f t="shared" si="26"/>
        <v>#VALUE!</v>
      </c>
      <c r="M138" s="132" t="e">
        <f t="shared" si="22"/>
        <v>#VALUE!</v>
      </c>
      <c r="N138" s="132" t="e">
        <f t="shared" si="27"/>
        <v>#VALUE!</v>
      </c>
      <c r="O138" s="132" t="e">
        <f t="shared" si="28"/>
        <v>#VALUE!</v>
      </c>
    </row>
    <row r="139" spans="1:15" ht="30" x14ac:dyDescent="0.25">
      <c r="A139" s="1" t="str">
        <f>+'Pricing Turkey'!A121</f>
        <v>IT.86</v>
      </c>
      <c r="B139" s="75" t="str">
        <f>+'Pricing Turkey'!B121</f>
        <v>PORTES CABINE / OPERATEUR *DEAS* INOX 70/80</v>
      </c>
      <c r="C139" s="75" t="str">
        <f>+'Pricing Turkey'!C121</f>
        <v>OPÉRATEUR</v>
      </c>
      <c r="D139" s="75" t="str">
        <f>+'Pricing Turkey'!D121</f>
        <v>Pc</v>
      </c>
      <c r="E139" s="75">
        <f>+'Pricing Turkey'!E121</f>
        <v>110</v>
      </c>
      <c r="F139" s="75" t="str">
        <f>+'Pricing Turkey'!F121</f>
        <v>INOX</v>
      </c>
      <c r="G139" s="123">
        <f>'Pricing Turkey'!G121*G$7</f>
        <v>3234.0000000000005</v>
      </c>
      <c r="H139" s="123">
        <f t="shared" si="23"/>
        <v>891.00000000000011</v>
      </c>
      <c r="I139" s="147">
        <f t="shared" si="21"/>
        <v>341.8338</v>
      </c>
      <c r="J139" s="123">
        <f t="shared" si="24"/>
        <v>590.7118756000001</v>
      </c>
      <c r="K139" s="123">
        <f t="shared" si="25"/>
        <v>226.38000000000005</v>
      </c>
      <c r="L139" s="123">
        <f t="shared" si="26"/>
        <v>808.50000000000011</v>
      </c>
      <c r="M139" s="132">
        <f t="shared" si="22"/>
        <v>5231.1197378000015</v>
      </c>
      <c r="N139" s="132">
        <f t="shared" si="27"/>
        <v>5554.5197378000012</v>
      </c>
      <c r="O139" s="132">
        <f t="shared" si="28"/>
        <v>6092.4256756000013</v>
      </c>
    </row>
    <row r="140" spans="1:15" ht="30" x14ac:dyDescent="0.25">
      <c r="A140" s="1" t="str">
        <f>+'Pricing Turkey'!A122</f>
        <v>IT.87</v>
      </c>
      <c r="B140" s="75" t="str">
        <f>+'Pricing Turkey'!B122</f>
        <v>PORTES PALIERE AUTOMATIQUE INOX *DEAS* 70/80</v>
      </c>
      <c r="C140" s="75" t="str">
        <f>+'Pricing Turkey'!C122</f>
        <v>PORTE</v>
      </c>
      <c r="D140" s="75" t="str">
        <f>+'Pricing Turkey'!D122</f>
        <v>Pc</v>
      </c>
      <c r="E140" s="75">
        <f>+'Pricing Turkey'!E122</f>
        <v>135</v>
      </c>
      <c r="F140" s="75" t="str">
        <f>+'Pricing Turkey'!F122</f>
        <v>INOX</v>
      </c>
      <c r="G140" s="123">
        <f>'Pricing Turkey'!G122*G$7</f>
        <v>2205</v>
      </c>
      <c r="H140" s="123">
        <f t="shared" si="23"/>
        <v>1093.5</v>
      </c>
      <c r="I140" s="147">
        <f t="shared" si="21"/>
        <v>233.06849999999997</v>
      </c>
      <c r="J140" s="123">
        <f t="shared" si="24"/>
        <v>402.53120250000001</v>
      </c>
      <c r="K140" s="123">
        <f t="shared" si="25"/>
        <v>154.35000000000002</v>
      </c>
      <c r="L140" s="123">
        <f t="shared" si="26"/>
        <v>551.25</v>
      </c>
      <c r="M140" s="132">
        <f t="shared" si="22"/>
        <v>4052.5591012499999</v>
      </c>
      <c r="N140" s="132">
        <f t="shared" si="27"/>
        <v>4273.0591012499999</v>
      </c>
      <c r="O140" s="132">
        <f t="shared" si="28"/>
        <v>4639.6997025000001</v>
      </c>
    </row>
    <row r="141" spans="1:15" ht="30" x14ac:dyDescent="0.25">
      <c r="A141" s="1" t="str">
        <f>+'Pricing Turkey'!A123</f>
        <v>IT.88</v>
      </c>
      <c r="B141" s="75" t="str">
        <f>+'Pricing Turkey'!B123</f>
        <v>PORTES PALIERE AUTOMATIQUE PEINTURE EPOXY *DEAS* 70/80</v>
      </c>
      <c r="C141" s="75" t="str">
        <f>+'Pricing Turkey'!C123</f>
        <v>PORTE</v>
      </c>
      <c r="D141" s="75" t="str">
        <f>+'Pricing Turkey'!D123</f>
        <v>Pc</v>
      </c>
      <c r="E141" s="75">
        <f>+'Pricing Turkey'!E123</f>
        <v>135</v>
      </c>
      <c r="F141" s="75" t="str">
        <f>+'Pricing Turkey'!F123</f>
        <v>STEEL</v>
      </c>
      <c r="G141" s="123">
        <f>'Pricing Turkey'!G123*G$7</f>
        <v>1813.0000000000002</v>
      </c>
      <c r="H141" s="123">
        <f t="shared" si="23"/>
        <v>367.13250000000005</v>
      </c>
      <c r="I141" s="147">
        <f t="shared" si="21"/>
        <v>191.63409999999999</v>
      </c>
      <c r="J141" s="123">
        <f t="shared" si="24"/>
        <v>330.89903023333341</v>
      </c>
      <c r="K141" s="123">
        <f t="shared" si="25"/>
        <v>126.91000000000003</v>
      </c>
      <c r="L141" s="123">
        <f t="shared" si="26"/>
        <v>453.25000000000006</v>
      </c>
      <c r="M141" s="132">
        <f t="shared" si="22"/>
        <v>2800.1011151166663</v>
      </c>
      <c r="N141" s="132">
        <f t="shared" si="27"/>
        <v>2981.4011151166665</v>
      </c>
      <c r="O141" s="132">
        <f t="shared" si="28"/>
        <v>3282.8256302333339</v>
      </c>
    </row>
    <row r="142" spans="1:15" ht="30" x14ac:dyDescent="0.25">
      <c r="A142" s="1" t="str">
        <f>+'Pricing Turkey'!A124</f>
        <v>IT.89</v>
      </c>
      <c r="B142" s="75" t="str">
        <f>+'Pricing Turkey'!B124</f>
        <v>PORTE PALIERE AUTOMATIQUE INOX FERMATOR 70</v>
      </c>
      <c r="C142" s="75" t="str">
        <f>+'Pricing Turkey'!C124</f>
        <v>PORTE</v>
      </c>
      <c r="D142" s="75" t="str">
        <f>+'Pricing Turkey'!D124</f>
        <v>Pc</v>
      </c>
      <c r="E142" s="75">
        <f>+'Pricing Turkey'!E124</f>
        <v>135</v>
      </c>
      <c r="F142" s="75" t="str">
        <f>+'Pricing Turkey'!F124</f>
        <v>INOX</v>
      </c>
      <c r="G142" s="123">
        <f>'Pricing Turkey'!G124*G$7</f>
        <v>3675.0000000000005</v>
      </c>
      <c r="H142" s="123">
        <f t="shared" si="23"/>
        <v>1093.5</v>
      </c>
      <c r="I142" s="147">
        <f t="shared" si="21"/>
        <v>388.44749999999999</v>
      </c>
      <c r="J142" s="123">
        <f t="shared" si="24"/>
        <v>671.42556250000007</v>
      </c>
      <c r="K142" s="123">
        <f t="shared" si="25"/>
        <v>257.25000000000006</v>
      </c>
      <c r="L142" s="123">
        <f t="shared" si="26"/>
        <v>918.75000000000011</v>
      </c>
      <c r="M142" s="132">
        <f t="shared" si="22"/>
        <v>6025.5352812500005</v>
      </c>
      <c r="N142" s="132">
        <f t="shared" si="27"/>
        <v>6393.0352812500005</v>
      </c>
      <c r="O142" s="132">
        <f t="shared" si="28"/>
        <v>7004.3730625000007</v>
      </c>
    </row>
    <row r="143" spans="1:15" ht="30" x14ac:dyDescent="0.25">
      <c r="A143" s="1" t="str">
        <f>+'Pricing Turkey'!A125</f>
        <v>IT.90</v>
      </c>
      <c r="B143" s="75" t="str">
        <f>+'Pricing Turkey'!B125</f>
        <v>PORTE PALIERE AUTOMATIQUE EPOXY FERMATOR 70</v>
      </c>
      <c r="C143" s="75" t="str">
        <f>+'Pricing Turkey'!C125</f>
        <v>PORTE</v>
      </c>
      <c r="D143" s="75" t="str">
        <f>+'Pricing Turkey'!D125</f>
        <v>Pc</v>
      </c>
      <c r="E143" s="75">
        <f>+'Pricing Turkey'!E125</f>
        <v>135</v>
      </c>
      <c r="F143" s="75" t="str">
        <f>+'Pricing Turkey'!F125</f>
        <v>STEEL</v>
      </c>
      <c r="G143" s="123">
        <f>'Pricing Turkey'!G125*G$7</f>
        <v>2842</v>
      </c>
      <c r="H143" s="123">
        <f t="shared" si="23"/>
        <v>575.505</v>
      </c>
      <c r="I143" s="147">
        <f t="shared" si="21"/>
        <v>300.39939999999996</v>
      </c>
      <c r="J143" s="123">
        <f t="shared" si="24"/>
        <v>518.99902973333337</v>
      </c>
      <c r="K143" s="123">
        <f t="shared" si="25"/>
        <v>198.94000000000003</v>
      </c>
      <c r="L143" s="123">
        <f t="shared" si="26"/>
        <v>710.5</v>
      </c>
      <c r="M143" s="132">
        <f t="shared" si="22"/>
        <v>4389.4939148666663</v>
      </c>
      <c r="N143" s="132">
        <f t="shared" si="27"/>
        <v>4673.693914866667</v>
      </c>
      <c r="O143" s="132">
        <f t="shared" si="28"/>
        <v>5146.3434297333333</v>
      </c>
    </row>
    <row r="144" spans="1:15" x14ac:dyDescent="0.25">
      <c r="A144" s="1" t="str">
        <f>+'Pricing Turkey'!A126</f>
        <v>IT.91</v>
      </c>
      <c r="B144" s="75" t="str">
        <f>+'Pricing Turkey'!B126</f>
        <v>OPERATEUR INOX FERMATOR 70</v>
      </c>
      <c r="C144" s="75" t="str">
        <f>+'Pricing Turkey'!C126</f>
        <v>OPÉRATEUR</v>
      </c>
      <c r="D144" s="75" t="str">
        <f>+'Pricing Turkey'!D126</f>
        <v>Pc</v>
      </c>
      <c r="E144" s="75">
        <f>+'Pricing Turkey'!E126</f>
        <v>110</v>
      </c>
      <c r="F144" s="75" t="str">
        <f>+'Pricing Turkey'!F126</f>
        <v>INOX</v>
      </c>
      <c r="G144" s="123">
        <f>'Pricing Turkey'!G126*G$7</f>
        <v>6811.0000000000009</v>
      </c>
      <c r="H144" s="123">
        <f t="shared" si="23"/>
        <v>1379.2275000000002</v>
      </c>
      <c r="I144" s="147">
        <f t="shared" si="21"/>
        <v>719.92269999999996</v>
      </c>
      <c r="J144" s="123">
        <f t="shared" si="24"/>
        <v>1246.5113054333335</v>
      </c>
      <c r="K144" s="123">
        <f t="shared" si="25"/>
        <v>476.7700000000001</v>
      </c>
      <c r="L144" s="123">
        <f t="shared" si="26"/>
        <v>1702.7500000000002</v>
      </c>
      <c r="M144" s="132">
        <f t="shared" si="22"/>
        <v>10521.000852716668</v>
      </c>
      <c r="N144" s="132">
        <f t="shared" si="27"/>
        <v>11202.100852716667</v>
      </c>
      <c r="O144" s="132">
        <f t="shared" si="28"/>
        <v>12336.181505433335</v>
      </c>
    </row>
    <row r="145" spans="1:15" ht="30" x14ac:dyDescent="0.25">
      <c r="A145" s="1" t="str">
        <f>+'Pricing Turkey'!A127</f>
        <v>IT.92</v>
      </c>
      <c r="B145" s="75" t="str">
        <f>+'Pricing Turkey'!B127</f>
        <v>AKİŞ ZF60 4KW MAX4 400*4*10 1M/S 51M TRAVEL D, GEARBOX VVVF MAX4</v>
      </c>
      <c r="C145" s="75" t="str">
        <f>+'Pricing Turkey'!C127</f>
        <v>MOTEUR</v>
      </c>
      <c r="D145" s="75" t="str">
        <f>+'Pricing Turkey'!D127</f>
        <v>Pc</v>
      </c>
      <c r="E145" s="75">
        <f>+'Pricing Turkey'!E127</f>
        <v>28</v>
      </c>
      <c r="F145" s="75" t="str">
        <f>+'Pricing Turkey'!F127</f>
        <v>-</v>
      </c>
      <c r="G145" s="123">
        <f>'Pricing Turkey'!G127*G$7</f>
        <v>8026.2000000000007</v>
      </c>
      <c r="H145" s="123">
        <f t="shared" si="23"/>
        <v>1625.3055000000002</v>
      </c>
      <c r="I145" s="147">
        <f t="shared" si="21"/>
        <v>848.36933999999997</v>
      </c>
      <c r="J145" s="123">
        <f t="shared" si="24"/>
        <v>1469.8857886440001</v>
      </c>
      <c r="K145" s="123">
        <f t="shared" si="25"/>
        <v>561.83400000000006</v>
      </c>
      <c r="L145" s="123">
        <f t="shared" si="26"/>
        <v>2006.5500000000002</v>
      </c>
      <c r="M145" s="132">
        <f t="shared" si="22"/>
        <v>12398.616734322002</v>
      </c>
      <c r="N145" s="132">
        <f t="shared" si="27"/>
        <v>13201.236734322003</v>
      </c>
      <c r="O145" s="132">
        <f t="shared" si="28"/>
        <v>14538.144628644</v>
      </c>
    </row>
    <row r="146" spans="1:15" ht="30" x14ac:dyDescent="0.25">
      <c r="A146" s="1" t="str">
        <f>+'Pricing Turkey'!A128</f>
        <v>IT.93</v>
      </c>
      <c r="B146" s="75" t="str">
        <f>+'Pricing Turkey'!B128</f>
        <v>AKİŞ VOLPİ VF2 5,5KW MAX6 MAX8 480*5*10 33M TRAVEL D, GEARBOX VVVF</v>
      </c>
      <c r="C146" s="75" t="str">
        <f>+'Pricing Turkey'!C128</f>
        <v>MOTEUR</v>
      </c>
      <c r="D146" s="75" t="str">
        <f>+'Pricing Turkey'!D128</f>
        <v>Pc</v>
      </c>
      <c r="E146" s="75">
        <f>+'Pricing Turkey'!E128</f>
        <v>32</v>
      </c>
      <c r="F146" s="75" t="str">
        <f>+'Pricing Turkey'!F128</f>
        <v>-</v>
      </c>
      <c r="G146" s="123">
        <f>'Pricing Turkey'!G128*G$7</f>
        <v>9003.75</v>
      </c>
      <c r="H146" s="123">
        <f t="shared" si="23"/>
        <v>1823.2593750000001</v>
      </c>
      <c r="I146" s="147">
        <f t="shared" si="21"/>
        <v>951.69637499999988</v>
      </c>
      <c r="J146" s="123">
        <f t="shared" si="24"/>
        <v>1649.7905014062503</v>
      </c>
      <c r="K146" s="123">
        <f t="shared" si="25"/>
        <v>630.26250000000005</v>
      </c>
      <c r="L146" s="123">
        <f t="shared" si="26"/>
        <v>2250.9375</v>
      </c>
      <c r="M146" s="132">
        <f t="shared" si="22"/>
        <v>13909.144750703124</v>
      </c>
      <c r="N146" s="132">
        <f t="shared" si="27"/>
        <v>14809.519750703124</v>
      </c>
      <c r="O146" s="132">
        <f t="shared" si="28"/>
        <v>16309.696251406251</v>
      </c>
    </row>
    <row r="147" spans="1:15" ht="30" x14ac:dyDescent="0.25">
      <c r="A147" s="1" t="str">
        <f>+'Pricing Turkey'!A129</f>
        <v>IT.94</v>
      </c>
      <c r="B147" s="75" t="str">
        <f>+'Pricing Turkey'!B129</f>
        <v>AKİŞ VOLPİ VF2 7,5KW MAX10 480*5*10 33M TRAVEL D, GEARBOX VVVF</v>
      </c>
      <c r="C147" s="75" t="str">
        <f>+'Pricing Turkey'!C129</f>
        <v>MOTEUR</v>
      </c>
      <c r="D147" s="75" t="str">
        <f>+'Pricing Turkey'!D129</f>
        <v>Pc</v>
      </c>
      <c r="E147" s="75">
        <f>+'Pricing Turkey'!E129</f>
        <v>210</v>
      </c>
      <c r="F147" s="75" t="str">
        <f>+'Pricing Turkey'!F129</f>
        <v>-</v>
      </c>
      <c r="G147" s="123">
        <f>'Pricing Turkey'!G129*G$7</f>
        <v>10437</v>
      </c>
      <c r="H147" s="123">
        <f t="shared" si="23"/>
        <v>2113.4925000000003</v>
      </c>
      <c r="I147" s="147">
        <f t="shared" si="21"/>
        <v>1103.1908999999998</v>
      </c>
      <c r="J147" s="123">
        <f t="shared" si="24"/>
        <v>1913.9060969</v>
      </c>
      <c r="K147" s="123">
        <f t="shared" si="25"/>
        <v>730.59</v>
      </c>
      <c r="L147" s="123">
        <f t="shared" si="26"/>
        <v>2609.25</v>
      </c>
      <c r="M147" s="132">
        <f t="shared" si="22"/>
        <v>16124.001448449999</v>
      </c>
      <c r="N147" s="132">
        <f t="shared" si="27"/>
        <v>17167.70144845</v>
      </c>
      <c r="O147" s="132">
        <f t="shared" si="28"/>
        <v>18907.4294969</v>
      </c>
    </row>
    <row r="148" spans="1:15" ht="30" x14ac:dyDescent="0.25">
      <c r="A148" s="1" t="str">
        <f>+'Pricing Turkey'!A130</f>
        <v>IT.95</v>
      </c>
      <c r="B148" s="75" t="str">
        <f>+'Pricing Turkey'!B130</f>
        <v>ADRIVE  ARL 300 VVVF + REVİZION BOX + ALARM MAX4 MAX6 MAX8</v>
      </c>
      <c r="C148" s="75" t="str">
        <f>+'Pricing Turkey'!C130</f>
        <v>ARMOIRE</v>
      </c>
      <c r="D148" s="75" t="str">
        <f>+'Pricing Turkey'!D130</f>
        <v>SET</v>
      </c>
      <c r="E148" s="75">
        <f>+'Pricing Turkey'!E130</f>
        <v>0</v>
      </c>
      <c r="F148" s="75" t="str">
        <f>+'Pricing Turkey'!F130</f>
        <v>-</v>
      </c>
      <c r="G148" s="123" t="e">
        <f>'Pricing Turkey'!G130*G$7</f>
        <v>#VALUE!</v>
      </c>
      <c r="H148" s="123" t="e">
        <f t="shared" si="23"/>
        <v>#VALUE!</v>
      </c>
      <c r="I148" s="147" t="e">
        <f t="shared" si="21"/>
        <v>#VALUE!</v>
      </c>
      <c r="J148" s="123" t="e">
        <f t="shared" si="24"/>
        <v>#VALUE!</v>
      </c>
      <c r="K148" s="123" t="e">
        <f t="shared" si="25"/>
        <v>#VALUE!</v>
      </c>
      <c r="L148" s="123" t="e">
        <f t="shared" si="26"/>
        <v>#VALUE!</v>
      </c>
      <c r="M148" s="132" t="e">
        <f t="shared" si="22"/>
        <v>#VALUE!</v>
      </c>
      <c r="N148" s="132" t="e">
        <f t="shared" si="27"/>
        <v>#VALUE!</v>
      </c>
      <c r="O148" s="132" t="e">
        <f t="shared" si="28"/>
        <v>#VALUE!</v>
      </c>
    </row>
    <row r="149" spans="1:15" ht="30" x14ac:dyDescent="0.25">
      <c r="A149" s="1" t="str">
        <f>+'Pricing Turkey'!A131</f>
        <v>IT.96</v>
      </c>
      <c r="B149" s="75" t="str">
        <f>+'Pricing Turkey'!B131</f>
        <v>ADRIVE  ARL 300 VVVF + REVİZION BOX + ALARM MAX10</v>
      </c>
      <c r="C149" s="75" t="str">
        <f>+'Pricing Turkey'!C131</f>
        <v>ARMOIRE</v>
      </c>
      <c r="D149" s="75" t="str">
        <f>+'Pricing Turkey'!D131</f>
        <v>SET</v>
      </c>
      <c r="E149" s="75">
        <f>+'Pricing Turkey'!E131</f>
        <v>0</v>
      </c>
      <c r="F149" s="75" t="str">
        <f>+'Pricing Turkey'!F131</f>
        <v>-</v>
      </c>
      <c r="G149" s="123" t="e">
        <f>'Pricing Turkey'!G131*G$7</f>
        <v>#VALUE!</v>
      </c>
      <c r="H149" s="123" t="e">
        <f t="shared" ref="H149:H180" si="29">IF(F149="STEEL",MAX(G149,E149*13)*20.25%,IF(F149="GALVA",MAX(G149,E149*24)*20.25%,IF(F149="INOX",MAX(G149,E149*40)*20.25%,IF(F149="COPPER",MAX(G149,E149*60)*20.25%,G149*20.25%))))</f>
        <v>#VALUE!</v>
      </c>
      <c r="I149" s="147" t="e">
        <f t="shared" si="21"/>
        <v>#VALUE!</v>
      </c>
      <c r="J149" s="123" t="e">
        <f t="shared" ref="J149:J180" si="30">(J$9+J$7*G149)/($G$5*$H$5)*G149</f>
        <v>#VALUE!</v>
      </c>
      <c r="K149" s="123" t="e">
        <f t="shared" ref="K149:K180" si="31">K$7*G149</f>
        <v>#VALUE!</v>
      </c>
      <c r="L149" s="123" t="e">
        <f t="shared" ref="L149:L180" si="32">+G149*L$7</f>
        <v>#VALUE!</v>
      </c>
      <c r="M149" s="132" t="e">
        <f t="shared" si="22"/>
        <v>#VALUE!</v>
      </c>
      <c r="N149" s="132" t="e">
        <f t="shared" ref="N149:N180" si="33">+G149+H149+I149+J149*50%+K149+L149*70%</f>
        <v>#VALUE!</v>
      </c>
      <c r="O149" s="132" t="e">
        <f t="shared" ref="O149:O180" si="34">+SUM(H149:L149)+G149</f>
        <v>#VALUE!</v>
      </c>
    </row>
    <row r="150" spans="1:15" ht="30" x14ac:dyDescent="0.25">
      <c r="A150" s="1" t="str">
        <f>+'Pricing Turkey'!A132</f>
        <v>IT.97</v>
      </c>
      <c r="B150" s="75" t="str">
        <f>+'Pricing Turkey'!B132</f>
        <v>MOTEUR PRIMO GEARLESS MAX4 MAX6 + CHASSIS</v>
      </c>
      <c r="C150" s="75" t="str">
        <f>+'Pricing Turkey'!C132</f>
        <v>MOTEUR</v>
      </c>
      <c r="D150" s="75" t="str">
        <f>+'Pricing Turkey'!D132</f>
        <v>Pc</v>
      </c>
      <c r="E150" s="75">
        <f>+'Pricing Turkey'!E132</f>
        <v>0</v>
      </c>
      <c r="F150" s="75">
        <f>+'Pricing Turkey'!F132</f>
        <v>0</v>
      </c>
      <c r="G150" s="123" t="e">
        <f>'Pricing Turkey'!G132*G$7</f>
        <v>#VALUE!</v>
      </c>
      <c r="H150" s="123" t="e">
        <f t="shared" si="29"/>
        <v>#VALUE!</v>
      </c>
      <c r="I150" s="147" t="e">
        <f t="shared" ref="I150:I213" si="35">+((I$9*G$7+I$11+I$13+I$15+I$17)*(1+I$7)+2500)/($G$5*$H$5)*G150</f>
        <v>#VALUE!</v>
      </c>
      <c r="J150" s="123" t="e">
        <f t="shared" si="30"/>
        <v>#VALUE!</v>
      </c>
      <c r="K150" s="123" t="e">
        <f t="shared" si="31"/>
        <v>#VALUE!</v>
      </c>
      <c r="L150" s="123" t="e">
        <f t="shared" si="32"/>
        <v>#VALUE!</v>
      </c>
      <c r="M150" s="132" t="e">
        <f t="shared" ref="M150:M175" si="36">+G150+H150+I150+J150*50%+K150+L150*30%</f>
        <v>#VALUE!</v>
      </c>
      <c r="N150" s="132" t="e">
        <f t="shared" si="33"/>
        <v>#VALUE!</v>
      </c>
      <c r="O150" s="132" t="e">
        <f t="shared" si="34"/>
        <v>#VALUE!</v>
      </c>
    </row>
    <row r="151" spans="1:15" x14ac:dyDescent="0.25">
      <c r="A151" s="1" t="str">
        <f>+'Pricing Turkey'!A133</f>
        <v>IT.98</v>
      </c>
      <c r="B151" s="75" t="str">
        <f>+'Pricing Turkey'!B133</f>
        <v>MOTEUR PRIMO VVVF MAX6 + CHASSIS</v>
      </c>
      <c r="C151" s="75" t="str">
        <f>+'Pricing Turkey'!C133</f>
        <v>MOTEUR</v>
      </c>
      <c r="D151" s="75" t="str">
        <f>+'Pricing Turkey'!D133</f>
        <v>Pc</v>
      </c>
      <c r="E151" s="75">
        <f>+'Pricing Turkey'!E133</f>
        <v>0</v>
      </c>
      <c r="F151" s="75">
        <f>+'Pricing Turkey'!F133</f>
        <v>0</v>
      </c>
      <c r="G151" s="123">
        <f>'Pricing Turkey'!G133*G$7</f>
        <v>15843.4864104967</v>
      </c>
      <c r="H151" s="123">
        <f t="shared" si="29"/>
        <v>3208.3059981255819</v>
      </c>
      <c r="I151" s="147">
        <f t="shared" si="35"/>
        <v>1674.6565135895009</v>
      </c>
      <c r="J151" s="123">
        <f t="shared" si="30"/>
        <v>2913.8972950111911</v>
      </c>
      <c r="K151" s="123">
        <f t="shared" si="31"/>
        <v>1109.0440487347691</v>
      </c>
      <c r="L151" s="123">
        <f t="shared" si="32"/>
        <v>3960.871602624175</v>
      </c>
      <c r="M151" s="132">
        <f t="shared" si="36"/>
        <v>24480.703099239399</v>
      </c>
      <c r="N151" s="132">
        <f t="shared" si="33"/>
        <v>26065.051740289069</v>
      </c>
      <c r="O151" s="132">
        <f t="shared" si="34"/>
        <v>28710.261868581918</v>
      </c>
    </row>
    <row r="152" spans="1:15" x14ac:dyDescent="0.25">
      <c r="A152" s="1" t="str">
        <f>+'Pricing Turkey'!A134</f>
        <v>IT.99</v>
      </c>
      <c r="B152" s="75" t="str">
        <f>+'Pricing Turkey'!B134</f>
        <v>MOTEUR PRIMO VVVF MAX4 + CHASSIS</v>
      </c>
      <c r="C152" s="75" t="str">
        <f>+'Pricing Turkey'!C134</f>
        <v>MOTEUR</v>
      </c>
      <c r="D152" s="75" t="str">
        <f>+'Pricing Turkey'!D134</f>
        <v>Pc</v>
      </c>
      <c r="E152" s="75">
        <f>+'Pricing Turkey'!E134</f>
        <v>0</v>
      </c>
      <c r="F152" s="75">
        <f>+'Pricing Turkey'!F134</f>
        <v>0</v>
      </c>
      <c r="G152" s="123">
        <f>'Pricing Turkey'!G134*G$7</f>
        <v>15843.4864104967</v>
      </c>
      <c r="H152" s="123">
        <f t="shared" si="29"/>
        <v>3208.3059981255819</v>
      </c>
      <c r="I152" s="147">
        <f t="shared" si="35"/>
        <v>1674.6565135895009</v>
      </c>
      <c r="J152" s="123">
        <f t="shared" si="30"/>
        <v>2913.8972950111911</v>
      </c>
      <c r="K152" s="123">
        <f t="shared" si="31"/>
        <v>1109.0440487347691</v>
      </c>
      <c r="L152" s="123">
        <f t="shared" si="32"/>
        <v>3960.871602624175</v>
      </c>
      <c r="M152" s="132">
        <f t="shared" si="36"/>
        <v>24480.703099239399</v>
      </c>
      <c r="N152" s="132">
        <f t="shared" si="33"/>
        <v>26065.051740289069</v>
      </c>
      <c r="O152" s="132">
        <f t="shared" si="34"/>
        <v>28710.261868581918</v>
      </c>
    </row>
    <row r="153" spans="1:15" x14ac:dyDescent="0.25">
      <c r="A153" s="1" t="str">
        <f>+'Pricing Turkey'!A135</f>
        <v>IT.100</v>
      </c>
      <c r="B153" s="75" t="str">
        <f>+'Pricing Turkey'!B135</f>
        <v>MOTEUR PRIMO VVVF MAX8 + CHASSIS</v>
      </c>
      <c r="C153" s="75" t="str">
        <f>+'Pricing Turkey'!C135</f>
        <v>MOTEUR</v>
      </c>
      <c r="D153" s="75" t="str">
        <f>+'Pricing Turkey'!D135</f>
        <v>Pc</v>
      </c>
      <c r="E153" s="75">
        <f>+'Pricing Turkey'!E135</f>
        <v>0</v>
      </c>
      <c r="F153" s="75">
        <f>+'Pricing Turkey'!F135</f>
        <v>0</v>
      </c>
      <c r="G153" s="123">
        <f>'Pricing Turkey'!G135*G$7</f>
        <v>0</v>
      </c>
      <c r="H153" s="123">
        <f t="shared" si="29"/>
        <v>0</v>
      </c>
      <c r="I153" s="147">
        <f t="shared" si="35"/>
        <v>0</v>
      </c>
      <c r="J153" s="123">
        <f t="shared" si="30"/>
        <v>0</v>
      </c>
      <c r="K153" s="123">
        <f t="shared" si="31"/>
        <v>0</v>
      </c>
      <c r="L153" s="123">
        <f t="shared" si="32"/>
        <v>0</v>
      </c>
      <c r="M153" s="132">
        <f t="shared" si="36"/>
        <v>0</v>
      </c>
      <c r="N153" s="132">
        <f t="shared" si="33"/>
        <v>0</v>
      </c>
      <c r="O153" s="132">
        <f t="shared" si="34"/>
        <v>0</v>
      </c>
    </row>
    <row r="154" spans="1:15" x14ac:dyDescent="0.25">
      <c r="A154" s="1" t="str">
        <f>+'Pricing Turkey'!A136</f>
        <v>IT.101</v>
      </c>
      <c r="B154" s="75" t="str">
        <f>+'Pricing Turkey'!B136</f>
        <v>MOTEUR PRIMO VVVF MAX10 + CHASSIS</v>
      </c>
      <c r="C154" s="75" t="str">
        <f>+'Pricing Turkey'!C136</f>
        <v>MOTEUR</v>
      </c>
      <c r="D154" s="75" t="str">
        <f>+'Pricing Turkey'!D136</f>
        <v>Pc</v>
      </c>
      <c r="E154" s="75">
        <f>+'Pricing Turkey'!E136</f>
        <v>0</v>
      </c>
      <c r="F154" s="75">
        <f>+'Pricing Turkey'!F136</f>
        <v>0</v>
      </c>
      <c r="G154" s="123">
        <f>'Pricing Turkey'!G136*G$7</f>
        <v>0</v>
      </c>
      <c r="H154" s="123">
        <f t="shared" si="29"/>
        <v>0</v>
      </c>
      <c r="I154" s="147">
        <f t="shared" si="35"/>
        <v>0</v>
      </c>
      <c r="J154" s="123">
        <f t="shared" si="30"/>
        <v>0</v>
      </c>
      <c r="K154" s="123">
        <f t="shared" si="31"/>
        <v>0</v>
      </c>
      <c r="L154" s="123">
        <f t="shared" si="32"/>
        <v>0</v>
      </c>
      <c r="M154" s="132">
        <f t="shared" si="36"/>
        <v>0</v>
      </c>
      <c r="N154" s="132">
        <f t="shared" si="33"/>
        <v>0</v>
      </c>
      <c r="O154" s="132">
        <f t="shared" si="34"/>
        <v>0</v>
      </c>
    </row>
    <row r="155" spans="1:15" x14ac:dyDescent="0.25">
      <c r="A155" s="1" t="str">
        <f>+'Pricing Turkey'!A137</f>
        <v>IT.102</v>
      </c>
      <c r="B155" s="75" t="str">
        <f>+'Pricing Turkey'!B137</f>
        <v>MOTEUR MONTANARI 2V MAX4</v>
      </c>
      <c r="C155" s="75" t="str">
        <f>+'Pricing Turkey'!C137</f>
        <v>MOTEUR</v>
      </c>
      <c r="D155" s="75" t="str">
        <f>+'Pricing Turkey'!D137</f>
        <v>Pc</v>
      </c>
      <c r="E155" s="75">
        <f>+'Pricing Turkey'!E137</f>
        <v>0</v>
      </c>
      <c r="F155" s="75">
        <f>+'Pricing Turkey'!F137</f>
        <v>0</v>
      </c>
      <c r="G155" s="123">
        <f>'Pricing Turkey'!G137*G$7</f>
        <v>0</v>
      </c>
      <c r="H155" s="123">
        <f t="shared" si="29"/>
        <v>0</v>
      </c>
      <c r="I155" s="147">
        <f t="shared" si="35"/>
        <v>0</v>
      </c>
      <c r="J155" s="123">
        <f t="shared" si="30"/>
        <v>0</v>
      </c>
      <c r="K155" s="123">
        <f t="shared" si="31"/>
        <v>0</v>
      </c>
      <c r="L155" s="123">
        <f t="shared" si="32"/>
        <v>0</v>
      </c>
      <c r="M155" s="132">
        <f t="shared" si="36"/>
        <v>0</v>
      </c>
      <c r="N155" s="132">
        <f t="shared" si="33"/>
        <v>0</v>
      </c>
      <c r="O155" s="132">
        <f t="shared" si="34"/>
        <v>0</v>
      </c>
    </row>
    <row r="156" spans="1:15" x14ac:dyDescent="0.25">
      <c r="A156" s="1" t="str">
        <f>+'Pricing Turkey'!A138</f>
        <v>IT.103</v>
      </c>
      <c r="B156" s="75" t="str">
        <f>+'Pricing Turkey'!B138</f>
        <v>MOTEUR MONTANARI 2V MAX6</v>
      </c>
      <c r="C156" s="75" t="str">
        <f>+'Pricing Turkey'!C138</f>
        <v>MOTEUR</v>
      </c>
      <c r="D156" s="75" t="str">
        <f>+'Pricing Turkey'!D138</f>
        <v>Pc</v>
      </c>
      <c r="E156" s="75">
        <f>+'Pricing Turkey'!E138</f>
        <v>0</v>
      </c>
      <c r="F156" s="75">
        <f>+'Pricing Turkey'!F138</f>
        <v>0</v>
      </c>
      <c r="G156" s="123">
        <f>'Pricing Turkey'!G138*G$7</f>
        <v>0</v>
      </c>
      <c r="H156" s="123">
        <f t="shared" si="29"/>
        <v>0</v>
      </c>
      <c r="I156" s="147">
        <f t="shared" si="35"/>
        <v>0</v>
      </c>
      <c r="J156" s="123">
        <f t="shared" si="30"/>
        <v>0</v>
      </c>
      <c r="K156" s="123">
        <f t="shared" si="31"/>
        <v>0</v>
      </c>
      <c r="L156" s="123">
        <f t="shared" si="32"/>
        <v>0</v>
      </c>
      <c r="M156" s="132">
        <f t="shared" si="36"/>
        <v>0</v>
      </c>
      <c r="N156" s="132">
        <f t="shared" si="33"/>
        <v>0</v>
      </c>
      <c r="O156" s="132">
        <f t="shared" si="34"/>
        <v>0</v>
      </c>
    </row>
    <row r="157" spans="1:15" x14ac:dyDescent="0.25">
      <c r="A157" s="1" t="str">
        <f>+'Pricing Turkey'!A139</f>
        <v>IT.104</v>
      </c>
      <c r="B157" s="75" t="str">
        <f>+'Pricing Turkey'!B139</f>
        <v>MOTEUR MONTANARI 2V MAX8</v>
      </c>
      <c r="C157" s="75" t="str">
        <f>+'Pricing Turkey'!C139</f>
        <v>MOTEUR</v>
      </c>
      <c r="D157" s="75" t="str">
        <f>+'Pricing Turkey'!D139</f>
        <v>Pc</v>
      </c>
      <c r="E157" s="75">
        <f>+'Pricing Turkey'!E139</f>
        <v>0</v>
      </c>
      <c r="F157" s="75">
        <f>+'Pricing Turkey'!F139</f>
        <v>0</v>
      </c>
      <c r="G157" s="123">
        <f>'Pricing Turkey'!G139*G$7</f>
        <v>0</v>
      </c>
      <c r="H157" s="123">
        <f t="shared" si="29"/>
        <v>0</v>
      </c>
      <c r="I157" s="147">
        <f t="shared" si="35"/>
        <v>0</v>
      </c>
      <c r="J157" s="123">
        <f t="shared" si="30"/>
        <v>0</v>
      </c>
      <c r="K157" s="123">
        <f t="shared" si="31"/>
        <v>0</v>
      </c>
      <c r="L157" s="123">
        <f t="shared" si="32"/>
        <v>0</v>
      </c>
      <c r="M157" s="132">
        <f t="shared" si="36"/>
        <v>0</v>
      </c>
      <c r="N157" s="132">
        <f t="shared" si="33"/>
        <v>0</v>
      </c>
      <c r="O157" s="132">
        <f t="shared" si="34"/>
        <v>0</v>
      </c>
    </row>
    <row r="158" spans="1:15" x14ac:dyDescent="0.25">
      <c r="A158" s="1" t="str">
        <f>+'Pricing Turkey'!A140</f>
        <v>IT.105</v>
      </c>
      <c r="B158" s="75" t="str">
        <f>+'Pricing Turkey'!B140</f>
        <v>MOTEUR MONTANARI 2V MAX10</v>
      </c>
      <c r="C158" s="75" t="str">
        <f>+'Pricing Turkey'!C140</f>
        <v>MOTEUR</v>
      </c>
      <c r="D158" s="75" t="str">
        <f>+'Pricing Turkey'!D140</f>
        <v>Pc</v>
      </c>
      <c r="E158" s="75">
        <f>+'Pricing Turkey'!E140</f>
        <v>0</v>
      </c>
      <c r="F158" s="75">
        <f>+'Pricing Turkey'!F140</f>
        <v>0</v>
      </c>
      <c r="G158" s="123">
        <f>'Pricing Turkey'!G140*G$7</f>
        <v>0</v>
      </c>
      <c r="H158" s="123">
        <f t="shared" si="29"/>
        <v>0</v>
      </c>
      <c r="I158" s="147">
        <f t="shared" si="35"/>
        <v>0</v>
      </c>
      <c r="J158" s="123">
        <f t="shared" si="30"/>
        <v>0</v>
      </c>
      <c r="K158" s="123">
        <f t="shared" si="31"/>
        <v>0</v>
      </c>
      <c r="L158" s="123">
        <f t="shared" si="32"/>
        <v>0</v>
      </c>
      <c r="M158" s="132">
        <f t="shared" si="36"/>
        <v>0</v>
      </c>
      <c r="N158" s="132">
        <f t="shared" si="33"/>
        <v>0</v>
      </c>
      <c r="O158" s="132">
        <f t="shared" si="34"/>
        <v>0</v>
      </c>
    </row>
    <row r="159" spans="1:15" x14ac:dyDescent="0.25">
      <c r="A159" s="1" t="str">
        <f>+'Pricing Turkey'!A141</f>
        <v>IT.106</v>
      </c>
      <c r="B159" s="75" t="str">
        <f>+'Pricing Turkey'!B141</f>
        <v>MOTEUR MONTANARI VVVF MAX4</v>
      </c>
      <c r="C159" s="75" t="str">
        <f>+'Pricing Turkey'!C141</f>
        <v>MOTEUR</v>
      </c>
      <c r="D159" s="75" t="str">
        <f>+'Pricing Turkey'!D141</f>
        <v>Pc</v>
      </c>
      <c r="E159" s="75">
        <f>+'Pricing Turkey'!E141</f>
        <v>0</v>
      </c>
      <c r="F159" s="75">
        <f>+'Pricing Turkey'!F141</f>
        <v>0</v>
      </c>
      <c r="G159" s="123">
        <f>'Pricing Turkey'!G141*G$7</f>
        <v>0</v>
      </c>
      <c r="H159" s="123">
        <f t="shared" si="29"/>
        <v>0</v>
      </c>
      <c r="I159" s="147">
        <f t="shared" si="35"/>
        <v>0</v>
      </c>
      <c r="J159" s="123">
        <f t="shared" si="30"/>
        <v>0</v>
      </c>
      <c r="K159" s="123">
        <f t="shared" si="31"/>
        <v>0</v>
      </c>
      <c r="L159" s="123">
        <f t="shared" si="32"/>
        <v>0</v>
      </c>
      <c r="M159" s="132">
        <f t="shared" si="36"/>
        <v>0</v>
      </c>
      <c r="N159" s="132">
        <f t="shared" si="33"/>
        <v>0</v>
      </c>
      <c r="O159" s="132">
        <f t="shared" si="34"/>
        <v>0</v>
      </c>
    </row>
    <row r="160" spans="1:15" x14ac:dyDescent="0.25">
      <c r="A160" s="1" t="str">
        <f>+'Pricing Turkey'!A142</f>
        <v>IT.107</v>
      </c>
      <c r="B160" s="75" t="str">
        <f>+'Pricing Turkey'!B142</f>
        <v>MOTEUR MONTANARI VVVF MAX6</v>
      </c>
      <c r="C160" s="75" t="str">
        <f>+'Pricing Turkey'!C142</f>
        <v>MOTEUR</v>
      </c>
      <c r="D160" s="75" t="str">
        <f>+'Pricing Turkey'!D142</f>
        <v>Pc</v>
      </c>
      <c r="E160" s="75">
        <f>+'Pricing Turkey'!E142</f>
        <v>0</v>
      </c>
      <c r="F160" s="75">
        <f>+'Pricing Turkey'!F142</f>
        <v>0</v>
      </c>
      <c r="G160" s="123">
        <f>'Pricing Turkey'!G142*G$7</f>
        <v>0</v>
      </c>
      <c r="H160" s="123">
        <f t="shared" si="29"/>
        <v>0</v>
      </c>
      <c r="I160" s="147">
        <f t="shared" si="35"/>
        <v>0</v>
      </c>
      <c r="J160" s="123">
        <f t="shared" si="30"/>
        <v>0</v>
      </c>
      <c r="K160" s="123">
        <f t="shared" si="31"/>
        <v>0</v>
      </c>
      <c r="L160" s="123">
        <f t="shared" si="32"/>
        <v>0</v>
      </c>
      <c r="M160" s="132">
        <f t="shared" si="36"/>
        <v>0</v>
      </c>
      <c r="N160" s="132">
        <f t="shared" si="33"/>
        <v>0</v>
      </c>
      <c r="O160" s="132">
        <f t="shared" si="34"/>
        <v>0</v>
      </c>
    </row>
    <row r="161" spans="1:15" x14ac:dyDescent="0.25">
      <c r="A161" s="1" t="str">
        <f>+'Pricing Turkey'!A143</f>
        <v>IT.108</v>
      </c>
      <c r="B161" s="75" t="str">
        <f>+'Pricing Turkey'!B143</f>
        <v>MOTEUR MONTANARI VVVF MAX8</v>
      </c>
      <c r="C161" s="75" t="str">
        <f>+'Pricing Turkey'!C143</f>
        <v>MOTEUR</v>
      </c>
      <c r="D161" s="75" t="str">
        <f>+'Pricing Turkey'!D143</f>
        <v>Pc</v>
      </c>
      <c r="E161" s="75">
        <f>+'Pricing Turkey'!E143</f>
        <v>0</v>
      </c>
      <c r="F161" s="75">
        <f>+'Pricing Turkey'!F143</f>
        <v>0</v>
      </c>
      <c r="G161" s="123">
        <f>'Pricing Turkey'!G143*G$7</f>
        <v>0</v>
      </c>
      <c r="H161" s="123">
        <f t="shared" si="29"/>
        <v>0</v>
      </c>
      <c r="I161" s="147">
        <f t="shared" si="35"/>
        <v>0</v>
      </c>
      <c r="J161" s="123">
        <f t="shared" si="30"/>
        <v>0</v>
      </c>
      <c r="K161" s="123">
        <f t="shared" si="31"/>
        <v>0</v>
      </c>
      <c r="L161" s="123">
        <f t="shared" si="32"/>
        <v>0</v>
      </c>
      <c r="M161" s="132">
        <f t="shared" si="36"/>
        <v>0</v>
      </c>
      <c r="N161" s="132">
        <f t="shared" si="33"/>
        <v>0</v>
      </c>
      <c r="O161" s="132">
        <f t="shared" si="34"/>
        <v>0</v>
      </c>
    </row>
    <row r="162" spans="1:15" x14ac:dyDescent="0.25">
      <c r="A162" s="1" t="str">
        <f>+'Pricing Turkey'!A144</f>
        <v>IT.109</v>
      </c>
      <c r="B162" s="75" t="str">
        <f>+'Pricing Turkey'!B144</f>
        <v>MOTEUR MONTANARI VVVF MAX10</v>
      </c>
      <c r="C162" s="75" t="str">
        <f>+'Pricing Turkey'!C144</f>
        <v>MOTEUR</v>
      </c>
      <c r="D162" s="75" t="str">
        <f>+'Pricing Turkey'!D144</f>
        <v>Pc</v>
      </c>
      <c r="E162" s="75">
        <f>+'Pricing Turkey'!E144</f>
        <v>0</v>
      </c>
      <c r="F162" s="75">
        <f>+'Pricing Turkey'!F144</f>
        <v>0</v>
      </c>
      <c r="G162" s="123">
        <f>'Pricing Turkey'!G144*G$7</f>
        <v>0</v>
      </c>
      <c r="H162" s="123">
        <f t="shared" si="29"/>
        <v>0</v>
      </c>
      <c r="I162" s="147">
        <f t="shared" si="35"/>
        <v>0</v>
      </c>
      <c r="J162" s="123">
        <f t="shared" si="30"/>
        <v>0</v>
      </c>
      <c r="K162" s="123">
        <f t="shared" si="31"/>
        <v>0</v>
      </c>
      <c r="L162" s="123">
        <f t="shared" si="32"/>
        <v>0</v>
      </c>
      <c r="M162" s="132">
        <f t="shared" si="36"/>
        <v>0</v>
      </c>
      <c r="N162" s="132">
        <f t="shared" si="33"/>
        <v>0</v>
      </c>
      <c r="O162" s="132">
        <f t="shared" si="34"/>
        <v>0</v>
      </c>
    </row>
    <row r="163" spans="1:15" x14ac:dyDescent="0.25">
      <c r="A163" s="1" t="str">
        <f>+'Pricing Turkey'!A145</f>
        <v>IT.110</v>
      </c>
      <c r="B163" s="75" t="str">
        <f>+'Pricing Turkey'!B145</f>
        <v>MOTEUR MONTANARI GEARLESS MAX4</v>
      </c>
      <c r="C163" s="75" t="str">
        <f>+'Pricing Turkey'!C145</f>
        <v>MOTEUR</v>
      </c>
      <c r="D163" s="75" t="str">
        <f>+'Pricing Turkey'!D145</f>
        <v>Pc</v>
      </c>
      <c r="E163" s="75">
        <f>+'Pricing Turkey'!E145</f>
        <v>0</v>
      </c>
      <c r="F163" s="75">
        <f>+'Pricing Turkey'!F145</f>
        <v>0</v>
      </c>
      <c r="G163" s="123">
        <f>'Pricing Turkey'!G145*G$7</f>
        <v>0</v>
      </c>
      <c r="H163" s="123">
        <f t="shared" si="29"/>
        <v>0</v>
      </c>
      <c r="I163" s="147">
        <f t="shared" si="35"/>
        <v>0</v>
      </c>
      <c r="J163" s="123">
        <f t="shared" si="30"/>
        <v>0</v>
      </c>
      <c r="K163" s="123">
        <f t="shared" si="31"/>
        <v>0</v>
      </c>
      <c r="L163" s="123">
        <f t="shared" si="32"/>
        <v>0</v>
      </c>
      <c r="M163" s="132">
        <f t="shared" si="36"/>
        <v>0</v>
      </c>
      <c r="N163" s="132">
        <f t="shared" si="33"/>
        <v>0</v>
      </c>
      <c r="O163" s="132">
        <f t="shared" si="34"/>
        <v>0</v>
      </c>
    </row>
    <row r="164" spans="1:15" x14ac:dyDescent="0.25">
      <c r="A164" s="1" t="str">
        <f>+'Pricing Turkey'!A146</f>
        <v>IT.111</v>
      </c>
      <c r="B164" s="75" t="str">
        <f>+'Pricing Turkey'!B146</f>
        <v>MOTEUR MONTANARI GEARLESS MAX6</v>
      </c>
      <c r="C164" s="75" t="str">
        <f>+'Pricing Turkey'!C146</f>
        <v>MOTEUR</v>
      </c>
      <c r="D164" s="75" t="str">
        <f>+'Pricing Turkey'!D146</f>
        <v>Pc</v>
      </c>
      <c r="E164" s="75">
        <f>+'Pricing Turkey'!E146</f>
        <v>0</v>
      </c>
      <c r="F164" s="75">
        <f>+'Pricing Turkey'!F146</f>
        <v>0</v>
      </c>
      <c r="G164" s="123">
        <f>'Pricing Turkey'!G146*G$7</f>
        <v>0</v>
      </c>
      <c r="H164" s="123">
        <f t="shared" si="29"/>
        <v>0</v>
      </c>
      <c r="I164" s="147">
        <f t="shared" si="35"/>
        <v>0</v>
      </c>
      <c r="J164" s="123">
        <f t="shared" si="30"/>
        <v>0</v>
      </c>
      <c r="K164" s="123">
        <f t="shared" si="31"/>
        <v>0</v>
      </c>
      <c r="L164" s="123">
        <f t="shared" si="32"/>
        <v>0</v>
      </c>
      <c r="M164" s="132">
        <f t="shared" si="36"/>
        <v>0</v>
      </c>
      <c r="N164" s="132">
        <f t="shared" si="33"/>
        <v>0</v>
      </c>
      <c r="O164" s="132">
        <f t="shared" si="34"/>
        <v>0</v>
      </c>
    </row>
    <row r="165" spans="1:15" x14ac:dyDescent="0.25">
      <c r="A165" s="1" t="str">
        <f>+'Pricing Turkey'!A147</f>
        <v>IT.112</v>
      </c>
      <c r="B165" s="75" t="str">
        <f>+'Pricing Turkey'!B147</f>
        <v>MOTEUR MONTANARI GEARLESS MAX8</v>
      </c>
      <c r="C165" s="75" t="str">
        <f>+'Pricing Turkey'!C147</f>
        <v>MOTEUR</v>
      </c>
      <c r="D165" s="75" t="str">
        <f>+'Pricing Turkey'!D147</f>
        <v>Pc</v>
      </c>
      <c r="E165" s="75">
        <f>+'Pricing Turkey'!E147</f>
        <v>0</v>
      </c>
      <c r="F165" s="75">
        <f>+'Pricing Turkey'!F147</f>
        <v>0</v>
      </c>
      <c r="G165" s="123">
        <f>'Pricing Turkey'!G147*G$7</f>
        <v>18787.878787878788</v>
      </c>
      <c r="H165" s="123">
        <f t="shared" si="29"/>
        <v>3804.545454545455</v>
      </c>
      <c r="I165" s="147">
        <f t="shared" si="35"/>
        <v>1985.8787878787878</v>
      </c>
      <c r="J165" s="123">
        <f t="shared" si="30"/>
        <v>3460.9550045913679</v>
      </c>
      <c r="K165" s="123">
        <f t="shared" si="31"/>
        <v>1315.1515151515152</v>
      </c>
      <c r="L165" s="123">
        <f t="shared" si="32"/>
        <v>4696.969696969697</v>
      </c>
      <c r="M165" s="132">
        <f t="shared" si="36"/>
        <v>29033.022956841141</v>
      </c>
      <c r="N165" s="132">
        <f t="shared" si="33"/>
        <v>30911.810835629021</v>
      </c>
      <c r="O165" s="132">
        <f t="shared" si="34"/>
        <v>34051.379247015611</v>
      </c>
    </row>
    <row r="166" spans="1:15" x14ac:dyDescent="0.25">
      <c r="A166" s="1" t="str">
        <f>+'Pricing Turkey'!A148</f>
        <v>IT.113</v>
      </c>
      <c r="B166" s="75" t="str">
        <f>+'Pricing Turkey'!B148</f>
        <v>MOTEUR MONTANARI GEARLESS MAX10</v>
      </c>
      <c r="C166" s="75" t="str">
        <f>+'Pricing Turkey'!C148</f>
        <v>MOTEUR</v>
      </c>
      <c r="D166" s="75" t="str">
        <f>+'Pricing Turkey'!D148</f>
        <v>Pc</v>
      </c>
      <c r="E166" s="75">
        <f>+'Pricing Turkey'!E148</f>
        <v>0</v>
      </c>
      <c r="F166" s="75">
        <f>+'Pricing Turkey'!F148</f>
        <v>0</v>
      </c>
      <c r="G166" s="123">
        <f>'Pricing Turkey'!G148*G$7</f>
        <v>0</v>
      </c>
      <c r="H166" s="123">
        <f t="shared" si="29"/>
        <v>0</v>
      </c>
      <c r="I166" s="147">
        <f t="shared" si="35"/>
        <v>0</v>
      </c>
      <c r="J166" s="123">
        <f t="shared" si="30"/>
        <v>0</v>
      </c>
      <c r="K166" s="123">
        <f t="shared" si="31"/>
        <v>0</v>
      </c>
      <c r="L166" s="123">
        <f t="shared" si="32"/>
        <v>0</v>
      </c>
      <c r="M166" s="132">
        <f t="shared" si="36"/>
        <v>0</v>
      </c>
      <c r="N166" s="132">
        <f t="shared" si="33"/>
        <v>0</v>
      </c>
      <c r="O166" s="132">
        <f t="shared" si="34"/>
        <v>0</v>
      </c>
    </row>
    <row r="167" spans="1:15" x14ac:dyDescent="0.25">
      <c r="A167" s="1" t="str">
        <f>+'Pricing Turkey'!A149</f>
        <v>IT.114</v>
      </c>
      <c r="B167" s="75" t="str">
        <f>+'Pricing Turkey'!B149</f>
        <v>MOTEUR GEM 2V MAX4</v>
      </c>
      <c r="C167" s="75" t="str">
        <f>+'Pricing Turkey'!C149</f>
        <v>MOTEUR</v>
      </c>
      <c r="D167" s="75" t="str">
        <f>+'Pricing Turkey'!D149</f>
        <v>Pc</v>
      </c>
      <c r="E167" s="75">
        <f>+'Pricing Turkey'!E149</f>
        <v>0</v>
      </c>
      <c r="F167" s="75">
        <f>+'Pricing Turkey'!F149</f>
        <v>0</v>
      </c>
      <c r="G167" s="123">
        <f>'Pricing Turkey'!G149*G$7</f>
        <v>0</v>
      </c>
      <c r="H167" s="123">
        <f t="shared" si="29"/>
        <v>0</v>
      </c>
      <c r="I167" s="147">
        <f t="shared" si="35"/>
        <v>0</v>
      </c>
      <c r="J167" s="123">
        <f t="shared" si="30"/>
        <v>0</v>
      </c>
      <c r="K167" s="123">
        <f t="shared" si="31"/>
        <v>0</v>
      </c>
      <c r="L167" s="123">
        <f t="shared" si="32"/>
        <v>0</v>
      </c>
      <c r="M167" s="132">
        <f t="shared" si="36"/>
        <v>0</v>
      </c>
      <c r="N167" s="132">
        <f t="shared" si="33"/>
        <v>0</v>
      </c>
      <c r="O167" s="132">
        <f t="shared" si="34"/>
        <v>0</v>
      </c>
    </row>
    <row r="168" spans="1:15" x14ac:dyDescent="0.25">
      <c r="A168" s="1" t="str">
        <f>+'Pricing Turkey'!A150</f>
        <v>IT.115</v>
      </c>
      <c r="B168" s="75" t="str">
        <f>+'Pricing Turkey'!B150</f>
        <v>MOTEUR GEM 2V MAX6</v>
      </c>
      <c r="C168" s="75" t="str">
        <f>+'Pricing Turkey'!C150</f>
        <v>MOTEUR</v>
      </c>
      <c r="D168" s="75" t="str">
        <f>+'Pricing Turkey'!D150</f>
        <v>Pc</v>
      </c>
      <c r="E168" s="75">
        <f>+'Pricing Turkey'!E150</f>
        <v>0</v>
      </c>
      <c r="F168" s="75">
        <f>+'Pricing Turkey'!F150</f>
        <v>0</v>
      </c>
      <c r="G168" s="123">
        <f>'Pricing Turkey'!G150*G$7</f>
        <v>0</v>
      </c>
      <c r="H168" s="123">
        <f t="shared" si="29"/>
        <v>0</v>
      </c>
      <c r="I168" s="147">
        <f t="shared" si="35"/>
        <v>0</v>
      </c>
      <c r="J168" s="123">
        <f t="shared" si="30"/>
        <v>0</v>
      </c>
      <c r="K168" s="123">
        <f t="shared" si="31"/>
        <v>0</v>
      </c>
      <c r="L168" s="123">
        <f t="shared" si="32"/>
        <v>0</v>
      </c>
      <c r="M168" s="132">
        <f t="shared" si="36"/>
        <v>0</v>
      </c>
      <c r="N168" s="132">
        <f t="shared" si="33"/>
        <v>0</v>
      </c>
      <c r="O168" s="132">
        <f t="shared" si="34"/>
        <v>0</v>
      </c>
    </row>
    <row r="169" spans="1:15" x14ac:dyDescent="0.25">
      <c r="A169" s="1" t="str">
        <f>+'Pricing Turkey'!A151</f>
        <v>IT.116</v>
      </c>
      <c r="B169" s="75" t="str">
        <f>+'Pricing Turkey'!B151</f>
        <v>MOTEUR GEM 2V MAX8</v>
      </c>
      <c r="C169" s="75" t="str">
        <f>+'Pricing Turkey'!C151</f>
        <v>MOTEUR</v>
      </c>
      <c r="D169" s="75" t="str">
        <f>+'Pricing Turkey'!D151</f>
        <v>Pc</v>
      </c>
      <c r="E169" s="75">
        <f>+'Pricing Turkey'!E151</f>
        <v>0</v>
      </c>
      <c r="F169" s="75">
        <f>+'Pricing Turkey'!F151</f>
        <v>0</v>
      </c>
      <c r="G169" s="123">
        <f>'Pricing Turkey'!G151*G$7</f>
        <v>0</v>
      </c>
      <c r="H169" s="123">
        <f t="shared" si="29"/>
        <v>0</v>
      </c>
      <c r="I169" s="147">
        <f t="shared" si="35"/>
        <v>0</v>
      </c>
      <c r="J169" s="123">
        <f t="shared" si="30"/>
        <v>0</v>
      </c>
      <c r="K169" s="123">
        <f t="shared" si="31"/>
        <v>0</v>
      </c>
      <c r="L169" s="123">
        <f t="shared" si="32"/>
        <v>0</v>
      </c>
      <c r="M169" s="132">
        <f t="shared" si="36"/>
        <v>0</v>
      </c>
      <c r="N169" s="132">
        <f t="shared" si="33"/>
        <v>0</v>
      </c>
      <c r="O169" s="132">
        <f t="shared" si="34"/>
        <v>0</v>
      </c>
    </row>
    <row r="170" spans="1:15" x14ac:dyDescent="0.25">
      <c r="A170" s="1" t="str">
        <f>+'Pricing Turkey'!A152</f>
        <v>IT.117</v>
      </c>
      <c r="B170" s="75" t="str">
        <f>+'Pricing Turkey'!B152</f>
        <v>MOTEUR GEM 2V MAX10</v>
      </c>
      <c r="C170" s="75" t="str">
        <f>+'Pricing Turkey'!C152</f>
        <v>MOTEUR</v>
      </c>
      <c r="D170" s="75" t="str">
        <f>+'Pricing Turkey'!D152</f>
        <v>Pc</v>
      </c>
      <c r="E170" s="75">
        <f>+'Pricing Turkey'!E152</f>
        <v>0</v>
      </c>
      <c r="F170" s="75">
        <f>+'Pricing Turkey'!F152</f>
        <v>0</v>
      </c>
      <c r="G170" s="123">
        <f>'Pricing Turkey'!G152*G$7</f>
        <v>0</v>
      </c>
      <c r="H170" s="123">
        <f t="shared" si="29"/>
        <v>0</v>
      </c>
      <c r="I170" s="147">
        <f t="shared" si="35"/>
        <v>0</v>
      </c>
      <c r="J170" s="123">
        <f t="shared" si="30"/>
        <v>0</v>
      </c>
      <c r="K170" s="123">
        <f t="shared" si="31"/>
        <v>0</v>
      </c>
      <c r="L170" s="123">
        <f t="shared" si="32"/>
        <v>0</v>
      </c>
      <c r="M170" s="132">
        <f t="shared" si="36"/>
        <v>0</v>
      </c>
      <c r="N170" s="132">
        <f t="shared" si="33"/>
        <v>0</v>
      </c>
      <c r="O170" s="132">
        <f t="shared" si="34"/>
        <v>0</v>
      </c>
    </row>
    <row r="171" spans="1:15" x14ac:dyDescent="0.25">
      <c r="A171" s="1" t="str">
        <f>+'Pricing Turkey'!A153</f>
        <v>IT.118</v>
      </c>
      <c r="B171" s="75" t="str">
        <f>+'Pricing Turkey'!B153</f>
        <v>MOTEUR GEM VVVF MAX4</v>
      </c>
      <c r="C171" s="75" t="str">
        <f>+'Pricing Turkey'!C153</f>
        <v>MOTEUR</v>
      </c>
      <c r="D171" s="75" t="str">
        <f>+'Pricing Turkey'!D153</f>
        <v>Pc</v>
      </c>
      <c r="E171" s="75">
        <f>+'Pricing Turkey'!E153</f>
        <v>0</v>
      </c>
      <c r="F171" s="75">
        <f>+'Pricing Turkey'!F153</f>
        <v>0</v>
      </c>
      <c r="G171" s="123">
        <f>'Pricing Turkey'!G153*G$7</f>
        <v>13749.999999999998</v>
      </c>
      <c r="H171" s="123">
        <f t="shared" si="29"/>
        <v>2784.375</v>
      </c>
      <c r="I171" s="147">
        <f t="shared" si="35"/>
        <v>1453.3749999999995</v>
      </c>
      <c r="J171" s="123">
        <f t="shared" si="30"/>
        <v>2525.989583333333</v>
      </c>
      <c r="K171" s="123">
        <f t="shared" si="31"/>
        <v>962.5</v>
      </c>
      <c r="L171" s="123">
        <f t="shared" si="32"/>
        <v>3437.4999999999995</v>
      </c>
      <c r="M171" s="132">
        <f t="shared" si="36"/>
        <v>21244.494791666668</v>
      </c>
      <c r="N171" s="132">
        <f t="shared" si="33"/>
        <v>22619.494791666668</v>
      </c>
      <c r="O171" s="132">
        <f t="shared" si="34"/>
        <v>24913.739583333328</v>
      </c>
    </row>
    <row r="172" spans="1:15" x14ac:dyDescent="0.25">
      <c r="A172" s="1" t="str">
        <f>+'Pricing Turkey'!A154</f>
        <v>IT.119</v>
      </c>
      <c r="B172" s="75" t="str">
        <f>+'Pricing Turkey'!B154</f>
        <v>MOTEUR GEM VVVF MAX6</v>
      </c>
      <c r="C172" s="75" t="str">
        <f>+'Pricing Turkey'!C154</f>
        <v>MOTEUR</v>
      </c>
      <c r="D172" s="75" t="str">
        <f>+'Pricing Turkey'!D154</f>
        <v>Pc</v>
      </c>
      <c r="E172" s="75">
        <f>+'Pricing Turkey'!E154</f>
        <v>0</v>
      </c>
      <c r="F172" s="75">
        <f>+'Pricing Turkey'!F154</f>
        <v>0</v>
      </c>
      <c r="G172" s="123">
        <f>'Pricing Turkey'!G154*G$7</f>
        <v>13749.999999999998</v>
      </c>
      <c r="H172" s="123">
        <f t="shared" si="29"/>
        <v>2784.375</v>
      </c>
      <c r="I172" s="147">
        <f t="shared" si="35"/>
        <v>1453.3749999999995</v>
      </c>
      <c r="J172" s="123">
        <f t="shared" si="30"/>
        <v>2525.989583333333</v>
      </c>
      <c r="K172" s="123">
        <f t="shared" si="31"/>
        <v>962.5</v>
      </c>
      <c r="L172" s="123">
        <f t="shared" si="32"/>
        <v>3437.4999999999995</v>
      </c>
      <c r="M172" s="132">
        <f t="shared" si="36"/>
        <v>21244.494791666668</v>
      </c>
      <c r="N172" s="132">
        <f t="shared" si="33"/>
        <v>22619.494791666668</v>
      </c>
      <c r="O172" s="132">
        <f t="shared" si="34"/>
        <v>24913.739583333328</v>
      </c>
    </row>
    <row r="173" spans="1:15" x14ac:dyDescent="0.25">
      <c r="A173" s="1" t="str">
        <f>+'Pricing Turkey'!A155</f>
        <v>IT.120</v>
      </c>
      <c r="B173" s="75" t="str">
        <f>+'Pricing Turkey'!B155</f>
        <v>MOTEUR GEM VVVF MAX8</v>
      </c>
      <c r="C173" s="75" t="str">
        <f>+'Pricing Turkey'!C155</f>
        <v>MOTEUR</v>
      </c>
      <c r="D173" s="75" t="str">
        <f>+'Pricing Turkey'!D155</f>
        <v>Pc</v>
      </c>
      <c r="E173" s="75">
        <f>+'Pricing Turkey'!E155</f>
        <v>0</v>
      </c>
      <c r="F173" s="75">
        <f>+'Pricing Turkey'!F155</f>
        <v>0</v>
      </c>
      <c r="G173" s="123">
        <f>'Pricing Turkey'!G155*G$7</f>
        <v>15625</v>
      </c>
      <c r="H173" s="123">
        <f t="shared" si="29"/>
        <v>3164.0625</v>
      </c>
      <c r="I173" s="147">
        <f t="shared" si="35"/>
        <v>1651.5624999999998</v>
      </c>
      <c r="J173" s="123">
        <f t="shared" si="30"/>
        <v>2873.3723958333335</v>
      </c>
      <c r="K173" s="123">
        <f t="shared" si="31"/>
        <v>1093.75</v>
      </c>
      <c r="L173" s="123">
        <f t="shared" si="32"/>
        <v>3906.25</v>
      </c>
      <c r="M173" s="132">
        <f t="shared" si="36"/>
        <v>24142.936197916668</v>
      </c>
      <c r="N173" s="132">
        <f t="shared" si="33"/>
        <v>25705.436197916668</v>
      </c>
      <c r="O173" s="132">
        <f t="shared" si="34"/>
        <v>28313.997395833336</v>
      </c>
    </row>
    <row r="174" spans="1:15" x14ac:dyDescent="0.25">
      <c r="A174" s="1" t="str">
        <f>+'Pricing Turkey'!A156</f>
        <v>IT.121</v>
      </c>
      <c r="B174" s="75" t="str">
        <f>+'Pricing Turkey'!B156</f>
        <v>MOTEUR GEM VVVF MAX10</v>
      </c>
      <c r="C174" s="75" t="str">
        <f>+'Pricing Turkey'!C156</f>
        <v>MOTEUR</v>
      </c>
      <c r="D174" s="75" t="str">
        <f>+'Pricing Turkey'!D156</f>
        <v>Pc</v>
      </c>
      <c r="E174" s="75">
        <f>+'Pricing Turkey'!E156</f>
        <v>0</v>
      </c>
      <c r="F174" s="75">
        <f>+'Pricing Turkey'!F156</f>
        <v>0</v>
      </c>
      <c r="G174" s="123">
        <f>'Pricing Turkey'!G156*G$7</f>
        <v>0</v>
      </c>
      <c r="H174" s="123">
        <f t="shared" si="29"/>
        <v>0</v>
      </c>
      <c r="I174" s="147">
        <f t="shared" si="35"/>
        <v>0</v>
      </c>
      <c r="J174" s="123">
        <f t="shared" si="30"/>
        <v>0</v>
      </c>
      <c r="K174" s="123">
        <f t="shared" si="31"/>
        <v>0</v>
      </c>
      <c r="L174" s="123">
        <f t="shared" si="32"/>
        <v>0</v>
      </c>
      <c r="M174" s="132">
        <f t="shared" si="36"/>
        <v>0</v>
      </c>
      <c r="N174" s="132">
        <f t="shared" si="33"/>
        <v>0</v>
      </c>
      <c r="O174" s="132">
        <f t="shared" si="34"/>
        <v>0</v>
      </c>
    </row>
    <row r="175" spans="1:15" x14ac:dyDescent="0.25">
      <c r="A175" s="1" t="str">
        <f>+'Pricing Turkey'!A157</f>
        <v>IT.122</v>
      </c>
      <c r="B175" s="75" t="str">
        <f>+'Pricing Turkey'!B157</f>
        <v>MOTEUR GEM GEARLESS MAX4</v>
      </c>
      <c r="C175" s="75" t="str">
        <f>+'Pricing Turkey'!C157</f>
        <v>MOTEUR</v>
      </c>
      <c r="D175" s="75" t="str">
        <f>+'Pricing Turkey'!D157</f>
        <v>Pc</v>
      </c>
      <c r="E175" s="75">
        <f>+'Pricing Turkey'!E157</f>
        <v>0</v>
      </c>
      <c r="F175" s="75">
        <f>+'Pricing Turkey'!F157</f>
        <v>0</v>
      </c>
      <c r="G175" s="123">
        <f>'Pricing Turkey'!G157*G$7</f>
        <v>0</v>
      </c>
      <c r="H175" s="123">
        <f t="shared" si="29"/>
        <v>0</v>
      </c>
      <c r="I175" s="147">
        <f t="shared" si="35"/>
        <v>0</v>
      </c>
      <c r="J175" s="123">
        <f t="shared" si="30"/>
        <v>0</v>
      </c>
      <c r="K175" s="123">
        <f t="shared" si="31"/>
        <v>0</v>
      </c>
      <c r="L175" s="123">
        <f t="shared" si="32"/>
        <v>0</v>
      </c>
      <c r="M175" s="132">
        <f t="shared" si="36"/>
        <v>0</v>
      </c>
      <c r="N175" s="132">
        <f t="shared" si="33"/>
        <v>0</v>
      </c>
      <c r="O175" s="132">
        <f t="shared" si="34"/>
        <v>0</v>
      </c>
    </row>
    <row r="176" spans="1:15" x14ac:dyDescent="0.25">
      <c r="A176" s="1" t="str">
        <f>+'Pricing Turkey'!A158</f>
        <v>IT.123</v>
      </c>
      <c r="B176" s="75" t="str">
        <f>+'Pricing Turkey'!B158</f>
        <v>MOTEUR GEM GEARLESS MAX6</v>
      </c>
      <c r="C176" s="75" t="str">
        <f>+'Pricing Turkey'!C158</f>
        <v>MOTEUR</v>
      </c>
      <c r="D176" s="75" t="str">
        <f>+'Pricing Turkey'!D158</f>
        <v>Pc</v>
      </c>
      <c r="E176" s="75">
        <f>+'Pricing Turkey'!E158</f>
        <v>0</v>
      </c>
      <c r="F176" s="75">
        <f>+'Pricing Turkey'!F158</f>
        <v>0</v>
      </c>
      <c r="G176" s="123">
        <f>'Pricing Turkey'!G158*G$7</f>
        <v>0</v>
      </c>
      <c r="H176" s="123">
        <f t="shared" si="29"/>
        <v>0</v>
      </c>
      <c r="I176" s="147">
        <f t="shared" si="35"/>
        <v>0</v>
      </c>
      <c r="J176" s="123">
        <f t="shared" si="30"/>
        <v>0</v>
      </c>
      <c r="K176" s="123">
        <f t="shared" si="31"/>
        <v>0</v>
      </c>
      <c r="L176" s="123">
        <f t="shared" si="32"/>
        <v>0</v>
      </c>
      <c r="M176" s="132">
        <f t="shared" ref="M176:M185" si="37">+G176+H176+I176+J176*50%+K176+L176*50%</f>
        <v>0</v>
      </c>
      <c r="N176" s="132">
        <f t="shared" si="33"/>
        <v>0</v>
      </c>
      <c r="O176" s="132">
        <f t="shared" si="34"/>
        <v>0</v>
      </c>
    </row>
    <row r="177" spans="1:15" x14ac:dyDescent="0.25">
      <c r="A177" s="1" t="str">
        <f>+'Pricing Turkey'!A159</f>
        <v>IT.124</v>
      </c>
      <c r="B177" s="75" t="str">
        <f>+'Pricing Turkey'!B159</f>
        <v>MOTEUR GEM GEARLESS MAX8</v>
      </c>
      <c r="C177" s="75" t="str">
        <f>+'Pricing Turkey'!C159</f>
        <v>MOTEUR</v>
      </c>
      <c r="D177" s="75" t="str">
        <f>+'Pricing Turkey'!D159</f>
        <v>Pc</v>
      </c>
      <c r="E177" s="75">
        <f>+'Pricing Turkey'!E159</f>
        <v>0</v>
      </c>
      <c r="F177" s="75">
        <f>+'Pricing Turkey'!F159</f>
        <v>0</v>
      </c>
      <c r="G177" s="123">
        <f>'Pricing Turkey'!G159*G$7</f>
        <v>0</v>
      </c>
      <c r="H177" s="123">
        <f t="shared" si="29"/>
        <v>0</v>
      </c>
      <c r="I177" s="147">
        <f t="shared" si="35"/>
        <v>0</v>
      </c>
      <c r="J177" s="123">
        <f t="shared" si="30"/>
        <v>0</v>
      </c>
      <c r="K177" s="123">
        <f t="shared" si="31"/>
        <v>0</v>
      </c>
      <c r="L177" s="123">
        <f t="shared" si="32"/>
        <v>0</v>
      </c>
      <c r="M177" s="132">
        <f t="shared" si="37"/>
        <v>0</v>
      </c>
      <c r="N177" s="132">
        <f t="shared" si="33"/>
        <v>0</v>
      </c>
      <c r="O177" s="132">
        <f t="shared" si="34"/>
        <v>0</v>
      </c>
    </row>
    <row r="178" spans="1:15" x14ac:dyDescent="0.25">
      <c r="A178" s="1" t="str">
        <f>+'Pricing Turkey'!A160</f>
        <v>IT.125</v>
      </c>
      <c r="B178" s="75" t="str">
        <f>+'Pricing Turkey'!B160</f>
        <v>MOTEUR GEM GEARLESS MAX10</v>
      </c>
      <c r="C178" s="75" t="str">
        <f>+'Pricing Turkey'!C160</f>
        <v>MOTEUR</v>
      </c>
      <c r="D178" s="75" t="str">
        <f>+'Pricing Turkey'!D160</f>
        <v>Pc</v>
      </c>
      <c r="E178" s="75">
        <f>+'Pricing Turkey'!E160</f>
        <v>0</v>
      </c>
      <c r="F178" s="75">
        <f>+'Pricing Turkey'!F160</f>
        <v>0</v>
      </c>
      <c r="G178" s="123">
        <f>'Pricing Turkey'!G160*G$7</f>
        <v>0</v>
      </c>
      <c r="H178" s="123">
        <f t="shared" si="29"/>
        <v>0</v>
      </c>
      <c r="I178" s="147">
        <f t="shared" si="35"/>
        <v>0</v>
      </c>
      <c r="J178" s="123">
        <f t="shared" si="30"/>
        <v>0</v>
      </c>
      <c r="K178" s="123">
        <f t="shared" si="31"/>
        <v>0</v>
      </c>
      <c r="L178" s="123">
        <f t="shared" si="32"/>
        <v>0</v>
      </c>
      <c r="M178" s="132">
        <f t="shared" si="37"/>
        <v>0</v>
      </c>
      <c r="N178" s="132">
        <f t="shared" si="33"/>
        <v>0</v>
      </c>
      <c r="O178" s="132">
        <f t="shared" si="34"/>
        <v>0</v>
      </c>
    </row>
    <row r="179" spans="1:15" x14ac:dyDescent="0.25">
      <c r="A179" s="1" t="str">
        <f>+'Pricing Turkey'!A161</f>
        <v>IT.126</v>
      </c>
      <c r="B179" s="75" t="str">
        <f>+'Pricing Turkey'!B161</f>
        <v xml:space="preserve">MONOSTABLE </v>
      </c>
      <c r="C179" s="75" t="str">
        <f>+'Pricing Turkey'!C161</f>
        <v>AUTRES</v>
      </c>
      <c r="D179" s="75" t="str">
        <f>+'Pricing Turkey'!D161</f>
        <v>Pc</v>
      </c>
      <c r="E179" s="75">
        <f>+'Pricing Turkey'!E161</f>
        <v>1</v>
      </c>
      <c r="F179" s="75" t="str">
        <f>+'Pricing Turkey'!F161</f>
        <v>-</v>
      </c>
      <c r="G179" s="123">
        <f>'Pricing Turkey'!G161*G$7</f>
        <v>17.64</v>
      </c>
      <c r="H179" s="123">
        <f t="shared" si="29"/>
        <v>3.5721000000000003</v>
      </c>
      <c r="I179" s="147">
        <f t="shared" si="35"/>
        <v>1.8645479999999999</v>
      </c>
      <c r="J179" s="123">
        <f t="shared" si="30"/>
        <v>3.2163911169600001</v>
      </c>
      <c r="K179" s="123">
        <f t="shared" si="31"/>
        <v>1.2348000000000001</v>
      </c>
      <c r="L179" s="123">
        <f t="shared" si="32"/>
        <v>4.41</v>
      </c>
      <c r="M179" s="132">
        <f t="shared" si="37"/>
        <v>28.124643558479995</v>
      </c>
      <c r="N179" s="132">
        <f t="shared" si="33"/>
        <v>29.006643558479997</v>
      </c>
      <c r="O179" s="132">
        <f t="shared" si="34"/>
        <v>31.937839116959999</v>
      </c>
    </row>
    <row r="180" spans="1:15" x14ac:dyDescent="0.25">
      <c r="A180" s="1" t="str">
        <f>+'Pricing Turkey'!A162</f>
        <v>IT.127</v>
      </c>
      <c r="B180" s="75" t="str">
        <f>+'Pricing Turkey'!B162</f>
        <v>BISTABLE</v>
      </c>
      <c r="C180" s="75" t="str">
        <f>+'Pricing Turkey'!C162</f>
        <v>AUTRES</v>
      </c>
      <c r="D180" s="75" t="str">
        <f>+'Pricing Turkey'!D162</f>
        <v>Pc</v>
      </c>
      <c r="E180" s="75">
        <f>+'Pricing Turkey'!E162</f>
        <v>1</v>
      </c>
      <c r="F180" s="75" t="str">
        <f>+'Pricing Turkey'!F162</f>
        <v>-</v>
      </c>
      <c r="G180" s="123">
        <f>'Pricing Turkey'!G162*G$7</f>
        <v>17.64</v>
      </c>
      <c r="H180" s="123">
        <f t="shared" si="29"/>
        <v>3.5721000000000003</v>
      </c>
      <c r="I180" s="147">
        <f t="shared" si="35"/>
        <v>1.8645479999999999</v>
      </c>
      <c r="J180" s="123">
        <f t="shared" si="30"/>
        <v>3.2163911169600001</v>
      </c>
      <c r="K180" s="123">
        <f t="shared" si="31"/>
        <v>1.2348000000000001</v>
      </c>
      <c r="L180" s="123">
        <f t="shared" si="32"/>
        <v>4.41</v>
      </c>
      <c r="M180" s="132">
        <f t="shared" si="37"/>
        <v>28.124643558479995</v>
      </c>
      <c r="N180" s="132">
        <f t="shared" si="33"/>
        <v>29.006643558479997</v>
      </c>
      <c r="O180" s="132">
        <f t="shared" si="34"/>
        <v>31.937839116959999</v>
      </c>
    </row>
    <row r="181" spans="1:15" x14ac:dyDescent="0.25">
      <c r="A181" s="1" t="str">
        <f>+'Pricing Turkey'!A163</f>
        <v>IT.128</v>
      </c>
      <c r="B181" s="75" t="str">
        <f>+'Pricing Turkey'!B163</f>
        <v>ECLAIRAGE DE GAINE</v>
      </c>
      <c r="C181" s="75" t="str">
        <f>+'Pricing Turkey'!C163</f>
        <v>AUTRES</v>
      </c>
      <c r="D181" s="75" t="str">
        <f>+'Pricing Turkey'!D163</f>
        <v>SET</v>
      </c>
      <c r="E181" s="75">
        <f>+'Pricing Turkey'!E163</f>
        <v>1</v>
      </c>
      <c r="F181" s="75" t="str">
        <f>+'Pricing Turkey'!F163</f>
        <v>-</v>
      </c>
      <c r="G181" s="123">
        <f>'Pricing Turkey'!G163*G$7</f>
        <v>19.600000000000001</v>
      </c>
      <c r="H181" s="123">
        <f t="shared" ref="H181:H200" si="38">IF(F181="STEEL",MAX(G181,E181*13)*20.25%,IF(F181="GALVA",MAX(G181,E181*24)*20.25%,IF(F181="INOX",MAX(G181,E181*40)*20.25%,IF(F181="COPPER",MAX(G181,E181*60)*20.25%,G181*20.25%))))</f>
        <v>3.9690000000000007</v>
      </c>
      <c r="I181" s="147">
        <f t="shared" si="35"/>
        <v>2.07172</v>
      </c>
      <c r="J181" s="123">
        <f t="shared" ref="J181:J200" si="39">(J$9+J$7*G181)/($G$5*$H$5)*G181</f>
        <v>3.5737717493333339</v>
      </c>
      <c r="K181" s="123">
        <f t="shared" ref="K181:K200" si="40">K$7*G181</f>
        <v>1.3720000000000003</v>
      </c>
      <c r="L181" s="123">
        <f t="shared" ref="L181:L200" si="41">+G181*L$7</f>
        <v>4.9000000000000004</v>
      </c>
      <c r="M181" s="132">
        <f t="shared" si="37"/>
        <v>31.249605874666667</v>
      </c>
      <c r="N181" s="132">
        <f t="shared" ref="N181:N200" si="42">+G181+H181+I181+J181*50%+K181+L181*70%</f>
        <v>32.229605874666667</v>
      </c>
      <c r="O181" s="132">
        <f t="shared" ref="O181:O200" si="43">+SUM(H181:L181)+G181</f>
        <v>35.486491749333339</v>
      </c>
    </row>
    <row r="182" spans="1:15" ht="30" x14ac:dyDescent="0.25">
      <c r="A182" s="1" t="str">
        <f>+'Pricing Turkey'!A164</f>
        <v>IT.129</v>
      </c>
      <c r="B182" s="75" t="str">
        <f>+'Pricing Turkey'!B164</f>
        <v>PORTE PALIERE AUTOMATIQUE INOX FERMATOR 80</v>
      </c>
      <c r="C182" s="75" t="str">
        <f>+'Pricing Turkey'!C164</f>
        <v>PORTE</v>
      </c>
      <c r="D182" s="75" t="str">
        <f>+'Pricing Turkey'!D164</f>
        <v>Pc</v>
      </c>
      <c r="E182" s="75">
        <f>+'Pricing Turkey'!E164</f>
        <v>135</v>
      </c>
      <c r="F182" s="75" t="str">
        <f>+'Pricing Turkey'!F164</f>
        <v>INOX</v>
      </c>
      <c r="G182" s="123">
        <f>'Pricing Turkey'!G164*G$7</f>
        <v>3743.6000000000004</v>
      </c>
      <c r="H182" s="123">
        <f t="shared" si="38"/>
        <v>1093.5</v>
      </c>
      <c r="I182" s="147">
        <f t="shared" si="35"/>
        <v>395.69851999999997</v>
      </c>
      <c r="J182" s="123">
        <f t="shared" si="39"/>
        <v>683.98452076266676</v>
      </c>
      <c r="K182" s="123">
        <f t="shared" si="40"/>
        <v>262.05200000000008</v>
      </c>
      <c r="L182" s="123">
        <f t="shared" si="41"/>
        <v>935.90000000000009</v>
      </c>
      <c r="M182" s="132">
        <f t="shared" si="37"/>
        <v>6304.7927803813336</v>
      </c>
      <c r="N182" s="132">
        <f t="shared" si="42"/>
        <v>6491.9727803813339</v>
      </c>
      <c r="O182" s="132">
        <f t="shared" si="43"/>
        <v>7114.7350407626673</v>
      </c>
    </row>
    <row r="183" spans="1:15" ht="30" x14ac:dyDescent="0.25">
      <c r="A183" s="1" t="str">
        <f>+'Pricing Turkey'!A165</f>
        <v>IT.130</v>
      </c>
      <c r="B183" s="75" t="str">
        <f>+'Pricing Turkey'!B165</f>
        <v>PORTE PALIERE AUTOMATIQUE EPOXY FERMATOR 80</v>
      </c>
      <c r="C183" s="75" t="str">
        <f>+'Pricing Turkey'!C165</f>
        <v>PORTE</v>
      </c>
      <c r="D183" s="75" t="str">
        <f>+'Pricing Turkey'!D165</f>
        <v>Pc</v>
      </c>
      <c r="E183" s="75">
        <f>+'Pricing Turkey'!E165</f>
        <v>135</v>
      </c>
      <c r="F183" s="75" t="str">
        <f>+'Pricing Turkey'!F165</f>
        <v>STEEL</v>
      </c>
      <c r="G183" s="123">
        <f>'Pricing Turkey'!G165*G$7</f>
        <v>2940</v>
      </c>
      <c r="H183" s="123">
        <f t="shared" si="38"/>
        <v>595.35</v>
      </c>
      <c r="I183" s="147">
        <f t="shared" si="35"/>
        <v>310.75799999999998</v>
      </c>
      <c r="J183" s="123">
        <f t="shared" si="39"/>
        <v>536.92435999999998</v>
      </c>
      <c r="K183" s="123">
        <f t="shared" si="40"/>
        <v>205.8</v>
      </c>
      <c r="L183" s="123">
        <f t="shared" si="41"/>
        <v>735</v>
      </c>
      <c r="M183" s="132">
        <f t="shared" si="37"/>
        <v>4687.8701799999999</v>
      </c>
      <c r="N183" s="132">
        <f t="shared" si="42"/>
        <v>4834.8701799999999</v>
      </c>
      <c r="O183" s="132">
        <f t="shared" si="43"/>
        <v>5323.8323600000003</v>
      </c>
    </row>
    <row r="184" spans="1:15" x14ac:dyDescent="0.25">
      <c r="A184" s="1" t="str">
        <f>+'Pricing Turkey'!A166</f>
        <v>IT.131</v>
      </c>
      <c r="B184" s="75" t="str">
        <f>+'Pricing Turkey'!B166</f>
        <v>OPERATEUR INOX FERMATOR 80</v>
      </c>
      <c r="C184" s="75" t="str">
        <f>+'Pricing Turkey'!C166</f>
        <v>OPÉRATEUR</v>
      </c>
      <c r="D184" s="75" t="str">
        <f>+'Pricing Turkey'!D166</f>
        <v>Pc</v>
      </c>
      <c r="E184" s="75">
        <f>+'Pricing Turkey'!E166</f>
        <v>110</v>
      </c>
      <c r="F184" s="75" t="str">
        <f>+'Pricing Turkey'!F166</f>
        <v>INOX</v>
      </c>
      <c r="G184" s="123">
        <f>'Pricing Turkey'!G166*G$7</f>
        <v>7056.0000000000009</v>
      </c>
      <c r="H184" s="123">
        <f t="shared" si="38"/>
        <v>1428.8400000000004</v>
      </c>
      <c r="I184" s="147">
        <f t="shared" si="35"/>
        <v>745.81920000000002</v>
      </c>
      <c r="J184" s="123">
        <f t="shared" si="39"/>
        <v>1291.5227136000003</v>
      </c>
      <c r="K184" s="123">
        <f t="shared" si="40"/>
        <v>493.92000000000013</v>
      </c>
      <c r="L184" s="123">
        <f t="shared" si="41"/>
        <v>1764.0000000000002</v>
      </c>
      <c r="M184" s="132">
        <f t="shared" si="37"/>
        <v>11252.340556800002</v>
      </c>
      <c r="N184" s="132">
        <f t="shared" si="42"/>
        <v>11605.140556800001</v>
      </c>
      <c r="O184" s="132">
        <f t="shared" si="43"/>
        <v>12780.101913600003</v>
      </c>
    </row>
    <row r="185" spans="1:15" x14ac:dyDescent="0.25">
      <c r="A185" s="1" t="str">
        <f>+'Pricing Turkey'!A167</f>
        <v>IT.132</v>
      </c>
      <c r="B185" s="75" t="str">
        <f>+'Pricing Turkey'!B167</f>
        <v>ECHELLE</v>
      </c>
      <c r="C185" s="75" t="str">
        <f>+'Pricing Turkey'!C167</f>
        <v>AUTRES</v>
      </c>
      <c r="D185" s="75" t="str">
        <f>+'Pricing Turkey'!D167</f>
        <v>Pc</v>
      </c>
      <c r="E185" s="75">
        <f>+'Pricing Turkey'!E167</f>
        <v>15</v>
      </c>
      <c r="F185" s="75" t="str">
        <f>+'Pricing Turkey'!F175</f>
        <v>STEEL</v>
      </c>
      <c r="G185" s="123">
        <f>'Pricing Turkey'!G167*G$7</f>
        <v>245.00000000000003</v>
      </c>
      <c r="H185" s="123">
        <f t="shared" si="38"/>
        <v>49.612500000000011</v>
      </c>
      <c r="I185" s="147">
        <f t="shared" si="35"/>
        <v>25.8965</v>
      </c>
      <c r="J185" s="123">
        <f t="shared" si="39"/>
        <v>44.677669166666668</v>
      </c>
      <c r="K185" s="123">
        <f t="shared" si="40"/>
        <v>17.150000000000002</v>
      </c>
      <c r="L185" s="123">
        <f t="shared" si="41"/>
        <v>61.250000000000007</v>
      </c>
      <c r="M185" s="132">
        <f t="shared" si="37"/>
        <v>390.62283458333337</v>
      </c>
      <c r="N185" s="132">
        <f t="shared" si="42"/>
        <v>402.87283458333337</v>
      </c>
      <c r="O185" s="132">
        <f t="shared" si="43"/>
        <v>443.58666916666675</v>
      </c>
    </row>
    <row r="186" spans="1:15" x14ac:dyDescent="0.25">
      <c r="A186" s="1" t="str">
        <f>+'Pricing Turkey'!A168</f>
        <v>IT.133</v>
      </c>
      <c r="B186" s="75" t="str">
        <f>+'Pricing Turkey'!B168</f>
        <v>PORTE PALIERE AUTOMATIQUE INOX ATERYA 90</v>
      </c>
      <c r="C186" s="75" t="str">
        <f>+'Pricing Turkey'!C168</f>
        <v>PORTE</v>
      </c>
      <c r="D186" s="75" t="str">
        <f>+'Pricing Turkey'!D168</f>
        <v>Pc</v>
      </c>
      <c r="E186" s="75">
        <f>+'Pricing Turkey'!E168</f>
        <v>145</v>
      </c>
      <c r="F186" s="75" t="str">
        <f>+'Pricing Turkey'!F168</f>
        <v>INOX</v>
      </c>
      <c r="G186" s="123">
        <f>'Pricing Turkey'!G168*G$7</f>
        <v>2770.8872630528767</v>
      </c>
      <c r="H186" s="123">
        <f t="shared" si="38"/>
        <v>1174.5</v>
      </c>
      <c r="I186" s="147">
        <f t="shared" si="35"/>
        <v>292.88278370468902</v>
      </c>
      <c r="J186" s="123">
        <f t="shared" si="39"/>
        <v>505.99289258576272</v>
      </c>
      <c r="K186" s="123">
        <f t="shared" si="40"/>
        <v>193.9621084137014</v>
      </c>
      <c r="L186" s="123">
        <f t="shared" si="41"/>
        <v>692.72181576321918</v>
      </c>
      <c r="M186" s="132">
        <f t="shared" ref="M186:M200" si="44">+G186+H186+I186+J186*50%+K186+L186*50%</f>
        <v>5031.5895093457584</v>
      </c>
      <c r="N186" s="132">
        <f t="shared" si="42"/>
        <v>5170.1338724984016</v>
      </c>
      <c r="O186" s="132">
        <f t="shared" si="43"/>
        <v>5630.9468635202493</v>
      </c>
    </row>
    <row r="187" spans="1:15" x14ac:dyDescent="0.25">
      <c r="A187" s="1" t="str">
        <f>+'Pricing Turkey'!A169</f>
        <v>IT.134</v>
      </c>
      <c r="B187" s="75" t="str">
        <f>+'Pricing Turkey'!B169</f>
        <v>PORTE PALIERE AUTOMATIQUE EPOXY ATERYA 90</v>
      </c>
      <c r="C187" s="75" t="str">
        <f>+'Pricing Turkey'!C169</f>
        <v>PORTE</v>
      </c>
      <c r="D187" s="75" t="str">
        <f>+'Pricing Turkey'!D169</f>
        <v>Pc</v>
      </c>
      <c r="E187" s="75">
        <f>+'Pricing Turkey'!E169</f>
        <v>140</v>
      </c>
      <c r="F187" s="75" t="str">
        <f>+'Pricing Turkey'!F169</f>
        <v>INOX</v>
      </c>
      <c r="G187" s="123">
        <f>'Pricing Turkey'!G169*G$7</f>
        <v>2119.0748254073833</v>
      </c>
      <c r="H187" s="123">
        <f t="shared" si="38"/>
        <v>1134</v>
      </c>
      <c r="I187" s="147">
        <f t="shared" si="35"/>
        <v>223.9862090455604</v>
      </c>
      <c r="J187" s="123">
        <f t="shared" si="39"/>
        <v>386.82702431084709</v>
      </c>
      <c r="K187" s="123">
        <f t="shared" si="40"/>
        <v>148.33523777851684</v>
      </c>
      <c r="L187" s="123">
        <f t="shared" si="41"/>
        <v>529.76870635184582</v>
      </c>
      <c r="M187" s="132">
        <f t="shared" si="44"/>
        <v>4083.6941375628071</v>
      </c>
      <c r="N187" s="132">
        <f t="shared" si="42"/>
        <v>4189.647878833176</v>
      </c>
      <c r="O187" s="132">
        <f t="shared" si="43"/>
        <v>4541.9920028941533</v>
      </c>
    </row>
    <row r="188" spans="1:15" x14ac:dyDescent="0.25">
      <c r="A188" s="1" t="str">
        <f>+'Pricing Turkey'!A170</f>
        <v>IT.135</v>
      </c>
      <c r="B188" s="75" t="str">
        <f>+'Pricing Turkey'!B170</f>
        <v>OPERATEUR INOX ATERYA 90</v>
      </c>
      <c r="C188" s="75" t="str">
        <f>+'Pricing Turkey'!C170</f>
        <v>OPÉRATEUR</v>
      </c>
      <c r="D188" s="75" t="str">
        <f>+'Pricing Turkey'!D170</f>
        <v>Pc</v>
      </c>
      <c r="E188" s="75">
        <f>+'Pricing Turkey'!E170</f>
        <v>38</v>
      </c>
      <c r="F188" s="75" t="str">
        <f>+'Pricing Turkey'!F170</f>
        <v>INOX</v>
      </c>
      <c r="G188" s="123">
        <f>'Pricing Turkey'!G170*G$7</f>
        <v>4596.4183571666117</v>
      </c>
      <c r="H188" s="123">
        <f t="shared" si="38"/>
        <v>930.77471732623894</v>
      </c>
      <c r="I188" s="147">
        <f t="shared" si="35"/>
        <v>485.8414203525108</v>
      </c>
      <c r="J188" s="123">
        <f t="shared" si="39"/>
        <v>840.19298662812207</v>
      </c>
      <c r="K188" s="123">
        <f t="shared" si="40"/>
        <v>321.74928500166283</v>
      </c>
      <c r="L188" s="123">
        <f t="shared" si="41"/>
        <v>1149.1045892916529</v>
      </c>
      <c r="M188" s="132">
        <f t="shared" si="44"/>
        <v>7329.4325678069117</v>
      </c>
      <c r="N188" s="132">
        <f t="shared" si="42"/>
        <v>7559.2534856652419</v>
      </c>
      <c r="O188" s="132">
        <f t="shared" si="43"/>
        <v>8324.0813557668007</v>
      </c>
    </row>
    <row r="189" spans="1:15" ht="30" x14ac:dyDescent="0.25">
      <c r="A189" s="1" t="str">
        <f>+'Pricing Turkey'!A171</f>
        <v>IT.136</v>
      </c>
      <c r="B189" s="75" t="str">
        <f>+'Pricing Turkey'!B171</f>
        <v>DOOR AUTOMATIQUE PANORAMIQUE ATERYA 70/80/90</v>
      </c>
      <c r="C189" s="75" t="str">
        <f>+'Pricing Turkey'!C171</f>
        <v>PORTE</v>
      </c>
      <c r="D189" s="75" t="str">
        <f>+'Pricing Turkey'!D171</f>
        <v>Pc</v>
      </c>
      <c r="E189" s="75">
        <f>+'Pricing Turkey'!E171</f>
        <v>145</v>
      </c>
      <c r="F189" s="75" t="str">
        <f>+'Pricing Turkey'!F171</f>
        <v>INOX</v>
      </c>
      <c r="G189" s="123">
        <f>'Pricing Turkey'!G171*G$7</f>
        <v>3808.5560685598643</v>
      </c>
      <c r="H189" s="123">
        <f t="shared" si="38"/>
        <v>1174.5</v>
      </c>
      <c r="I189" s="147">
        <f t="shared" si="35"/>
        <v>402.5643764467776</v>
      </c>
      <c r="J189" s="123">
        <f t="shared" si="39"/>
        <v>695.87723310015167</v>
      </c>
      <c r="K189" s="123">
        <f t="shared" si="40"/>
        <v>266.59892479919051</v>
      </c>
      <c r="L189" s="123">
        <f t="shared" si="41"/>
        <v>952.13901713996609</v>
      </c>
      <c r="M189" s="132">
        <f t="shared" si="44"/>
        <v>6476.2274949258908</v>
      </c>
      <c r="N189" s="132">
        <f t="shared" si="42"/>
        <v>6666.6552983538841</v>
      </c>
      <c r="O189" s="132">
        <f t="shared" si="43"/>
        <v>7300.2356200459508</v>
      </c>
    </row>
    <row r="190" spans="1:15" x14ac:dyDescent="0.25">
      <c r="A190" s="1" t="str">
        <f>+'Pricing Turkey'!A172</f>
        <v>IT.137</v>
      </c>
      <c r="B190" s="75" t="str">
        <f>+'Pricing Turkey'!B172</f>
        <v>OPERATEUR PANORAMIQUE ATERYA 70/80/90</v>
      </c>
      <c r="C190" s="75" t="str">
        <f>+'Pricing Turkey'!C172</f>
        <v>PORTE</v>
      </c>
      <c r="D190" s="75" t="str">
        <f>+'Pricing Turkey'!D172</f>
        <v>Pc</v>
      </c>
      <c r="E190" s="75">
        <f>+'Pricing Turkey'!E172</f>
        <v>140</v>
      </c>
      <c r="F190" s="75" t="str">
        <f>+'Pricing Turkey'!F172</f>
        <v>INOX</v>
      </c>
      <c r="G190" s="123">
        <f>'Pricing Turkey'!G172*G$7</f>
        <v>5770.5394978179756</v>
      </c>
      <c r="H190" s="123">
        <f t="shared" si="38"/>
        <v>1168.5342483081401</v>
      </c>
      <c r="I190" s="147">
        <f t="shared" si="35"/>
        <v>609.94602491935996</v>
      </c>
      <c r="J190" s="123">
        <f t="shared" si="39"/>
        <v>1055.4916143783985</v>
      </c>
      <c r="K190" s="123">
        <f t="shared" si="40"/>
        <v>403.93776484725834</v>
      </c>
      <c r="L190" s="123">
        <f t="shared" si="41"/>
        <v>1442.6348744544939</v>
      </c>
      <c r="M190" s="132">
        <f t="shared" si="44"/>
        <v>9202.0207803091798</v>
      </c>
      <c r="N190" s="132">
        <f t="shared" si="42"/>
        <v>9490.5477552000793</v>
      </c>
      <c r="O190" s="132">
        <f t="shared" si="43"/>
        <v>10451.084024725627</v>
      </c>
    </row>
    <row r="191" spans="1:15" x14ac:dyDescent="0.25">
      <c r="A191" s="1" t="str">
        <f>+'Pricing Turkey'!A173</f>
        <v>IT.138</v>
      </c>
      <c r="B191" s="75" t="str">
        <f>+'Pricing Turkey'!B173</f>
        <v>CARTE OPERATEUR</v>
      </c>
      <c r="C191" s="75" t="str">
        <f>+'Pricing Turkey'!C173</f>
        <v>OPÉRATEUR</v>
      </c>
      <c r="D191" s="75" t="str">
        <f>+'Pricing Turkey'!D173</f>
        <v>Pc</v>
      </c>
      <c r="E191" s="75">
        <f>+'Pricing Turkey'!E173</f>
        <v>1</v>
      </c>
      <c r="F191" s="75" t="str">
        <f>+'Pricing Turkey'!F173</f>
        <v>-</v>
      </c>
      <c r="G191" s="123">
        <f>'Pricing Turkey'!G173*G$7</f>
        <v>526.84839668585164</v>
      </c>
      <c r="H191" s="123">
        <f t="shared" si="38"/>
        <v>106.68680032888497</v>
      </c>
      <c r="I191" s="147">
        <f t="shared" si="35"/>
        <v>55.687875529694509</v>
      </c>
      <c r="J191" s="123">
        <f t="shared" si="39"/>
        <v>96.089781252362656</v>
      </c>
      <c r="K191" s="123">
        <f t="shared" si="40"/>
        <v>36.879387768009622</v>
      </c>
      <c r="L191" s="123">
        <f t="shared" si="41"/>
        <v>131.71209917146291</v>
      </c>
      <c r="M191" s="132">
        <f t="shared" si="44"/>
        <v>840.00340052435331</v>
      </c>
      <c r="N191" s="132">
        <f t="shared" si="42"/>
        <v>866.34582035864594</v>
      </c>
      <c r="O191" s="132">
        <f t="shared" si="43"/>
        <v>953.90434073626625</v>
      </c>
    </row>
    <row r="192" spans="1:15" ht="30" x14ac:dyDescent="0.25">
      <c r="A192" s="1" t="str">
        <f>+'Pricing Turkey'!A174</f>
        <v>IT.139</v>
      </c>
      <c r="B192" s="75" t="str">
        <f>+'Pricing Turkey'!B174</f>
        <v>PORTE PALIERE AUTOMATIQUE INOX FERMATOR 90</v>
      </c>
      <c r="C192" s="75" t="str">
        <f>+'Pricing Turkey'!C174</f>
        <v>PORTE</v>
      </c>
      <c r="D192" s="75" t="str">
        <f>+'Pricing Turkey'!D174</f>
        <v>Pc</v>
      </c>
      <c r="E192" s="75">
        <f>+'Pricing Turkey'!E174</f>
        <v>135</v>
      </c>
      <c r="F192" s="75" t="str">
        <f>+'Pricing Turkey'!F174</f>
        <v>INOX</v>
      </c>
      <c r="G192" s="123">
        <f>'Pricing Turkey'!G174*G$7</f>
        <v>3822.0000000000005</v>
      </c>
      <c r="H192" s="123">
        <f t="shared" si="38"/>
        <v>1093.5</v>
      </c>
      <c r="I192" s="147">
        <f t="shared" si="35"/>
        <v>403.98540000000003</v>
      </c>
      <c r="J192" s="123">
        <f t="shared" si="39"/>
        <v>698.33876840000016</v>
      </c>
      <c r="K192" s="123">
        <f t="shared" si="40"/>
        <v>267.54000000000008</v>
      </c>
      <c r="L192" s="123">
        <f t="shared" si="41"/>
        <v>955.50000000000011</v>
      </c>
      <c r="M192" s="132">
        <f t="shared" si="44"/>
        <v>6413.9447842</v>
      </c>
      <c r="N192" s="132">
        <f t="shared" si="42"/>
        <v>6605.0447842000003</v>
      </c>
      <c r="O192" s="132">
        <f t="shared" si="43"/>
        <v>7240.8641684000013</v>
      </c>
    </row>
    <row r="193" spans="1:15" ht="30" x14ac:dyDescent="0.25">
      <c r="A193" s="1" t="str">
        <f>+'Pricing Turkey'!A175</f>
        <v>IT.140</v>
      </c>
      <c r="B193" s="75" t="str">
        <f>+'Pricing Turkey'!B175</f>
        <v>PORTE PALIERE AUTOMATIQUE EPOXY FERMATOR 90</v>
      </c>
      <c r="C193" s="75" t="str">
        <f>+'Pricing Turkey'!C175</f>
        <v>PORTE</v>
      </c>
      <c r="D193" s="75" t="str">
        <f>+'Pricing Turkey'!D175</f>
        <v>Pc</v>
      </c>
      <c r="E193" s="75">
        <f>+'Pricing Turkey'!E175</f>
        <v>135</v>
      </c>
      <c r="F193" s="75" t="e">
        <f>+'Pricing Turkey'!#REF!</f>
        <v>#REF!</v>
      </c>
      <c r="G193" s="123">
        <f>'Pricing Turkey'!G175*G$7</f>
        <v>2989</v>
      </c>
      <c r="H193" s="123" t="e">
        <f t="shared" si="38"/>
        <v>#REF!</v>
      </c>
      <c r="I193" s="147">
        <f t="shared" si="35"/>
        <v>315.93729999999999</v>
      </c>
      <c r="J193" s="123">
        <f t="shared" si="39"/>
        <v>545.88774543333329</v>
      </c>
      <c r="K193" s="123">
        <f t="shared" si="40"/>
        <v>209.23000000000002</v>
      </c>
      <c r="L193" s="123">
        <f t="shared" si="41"/>
        <v>747.25</v>
      </c>
      <c r="M193" s="132" t="e">
        <f t="shared" si="44"/>
        <v>#REF!</v>
      </c>
      <c r="N193" s="132" t="e">
        <f t="shared" si="42"/>
        <v>#REF!</v>
      </c>
      <c r="O193" s="132" t="e">
        <f t="shared" si="43"/>
        <v>#REF!</v>
      </c>
    </row>
    <row r="194" spans="1:15" x14ac:dyDescent="0.25">
      <c r="A194" s="1" t="str">
        <f>+'Pricing Turkey'!A176</f>
        <v>IT.141</v>
      </c>
      <c r="B194" s="75" t="str">
        <f>+'Pricing Turkey'!B176</f>
        <v>OPERATEUR INOX FERMATOR 90</v>
      </c>
      <c r="C194" s="75" t="str">
        <f>+'Pricing Turkey'!C176</f>
        <v>OPÉRATEUR</v>
      </c>
      <c r="D194" s="75" t="str">
        <f>+'Pricing Turkey'!D176</f>
        <v>Pc</v>
      </c>
      <c r="E194" s="75">
        <f>+'Pricing Turkey'!E176</f>
        <v>110</v>
      </c>
      <c r="F194" s="75" t="str">
        <f>+'Pricing Turkey'!F176</f>
        <v>INOX</v>
      </c>
      <c r="G194" s="123">
        <f>'Pricing Turkey'!G176*G$7</f>
        <v>7350.0000000000009</v>
      </c>
      <c r="H194" s="123">
        <f t="shared" si="38"/>
        <v>1488.3750000000002</v>
      </c>
      <c r="I194" s="147">
        <f t="shared" si="35"/>
        <v>776.89499999999998</v>
      </c>
      <c r="J194" s="123">
        <f t="shared" si="39"/>
        <v>1345.5522500000002</v>
      </c>
      <c r="K194" s="123">
        <f t="shared" si="40"/>
        <v>514.50000000000011</v>
      </c>
      <c r="L194" s="123">
        <f t="shared" si="41"/>
        <v>1837.5000000000002</v>
      </c>
      <c r="M194" s="132">
        <f t="shared" si="44"/>
        <v>11721.296125000003</v>
      </c>
      <c r="N194" s="132">
        <f t="shared" si="42"/>
        <v>12088.796125000003</v>
      </c>
      <c r="O194" s="132">
        <f t="shared" si="43"/>
        <v>13312.822250000001</v>
      </c>
    </row>
    <row r="195" spans="1:15" x14ac:dyDescent="0.25">
      <c r="A195" s="1" t="str">
        <f>+'Pricing Turkey'!A177</f>
        <v>IT.142</v>
      </c>
      <c r="B195" s="75" t="str">
        <f>+'Pricing Turkey'!B177</f>
        <v>PARACHUTE PROGRESSIF</v>
      </c>
      <c r="C195" s="75" t="str">
        <f>+'Pricing Turkey'!C177</f>
        <v>AUTRES</v>
      </c>
      <c r="D195" s="75" t="str">
        <f>+'Pricing Turkey'!D177</f>
        <v>Pc</v>
      </c>
      <c r="E195" s="75">
        <f>+'Pricing Turkey'!E177</f>
        <v>15</v>
      </c>
      <c r="F195" s="75" t="str">
        <f>+'Pricing Turkey'!F177</f>
        <v>GALVA</v>
      </c>
      <c r="G195" s="123">
        <f>'Pricing Turkey'!G177*G$7</f>
        <v>764.40000000000009</v>
      </c>
      <c r="H195" s="123">
        <f t="shared" si="38"/>
        <v>154.79100000000003</v>
      </c>
      <c r="I195" s="147">
        <f t="shared" si="35"/>
        <v>80.797079999999994</v>
      </c>
      <c r="J195" s="123">
        <f t="shared" si="39"/>
        <v>139.43403073600001</v>
      </c>
      <c r="K195" s="123">
        <f t="shared" si="40"/>
        <v>53.50800000000001</v>
      </c>
      <c r="L195" s="123">
        <f t="shared" si="41"/>
        <v>191.10000000000002</v>
      </c>
      <c r="M195" s="132">
        <f t="shared" si="44"/>
        <v>1218.763095368</v>
      </c>
      <c r="N195" s="132">
        <f t="shared" si="42"/>
        <v>1256.983095368</v>
      </c>
      <c r="O195" s="132">
        <f t="shared" si="43"/>
        <v>1384.0301107360001</v>
      </c>
    </row>
    <row r="196" spans="1:15" x14ac:dyDescent="0.25">
      <c r="A196" s="1" t="str">
        <f>+'Pricing Turkey'!A178</f>
        <v>STR1-1</v>
      </c>
      <c r="B196" s="75" t="str">
        <f>+'Pricing Turkey'!B178</f>
        <v>SET STRUCTURE 1300 X 1300 2 ETAGES EP 4MM</v>
      </c>
      <c r="C196" s="75" t="str">
        <f>+'Pricing Turkey'!C178</f>
        <v>STRUCTURE</v>
      </c>
      <c r="D196" s="75" t="str">
        <f>+'Pricing Turkey'!D178</f>
        <v>SET</v>
      </c>
      <c r="E196" s="75">
        <f>+'Pricing Turkey'!E178</f>
        <v>0</v>
      </c>
      <c r="F196" s="75" t="str">
        <f>+'Pricing Turkey'!F178</f>
        <v>STEEL</v>
      </c>
      <c r="G196" s="123">
        <f>'Pricing Turkey'!G178*G$7</f>
        <v>18865</v>
      </c>
      <c r="H196" s="123">
        <f t="shared" si="38"/>
        <v>3820.1625000000004</v>
      </c>
      <c r="I196" s="147">
        <f t="shared" si="35"/>
        <v>1994.0304999999998</v>
      </c>
      <c r="J196" s="123">
        <f t="shared" si="39"/>
        <v>3475.3071558333331</v>
      </c>
      <c r="K196" s="123">
        <f t="shared" si="40"/>
        <v>1320.5500000000002</v>
      </c>
      <c r="L196" s="123">
        <f t="shared" si="41"/>
        <v>4716.25</v>
      </c>
      <c r="M196" s="132">
        <f t="shared" si="44"/>
        <v>30095.521577916665</v>
      </c>
      <c r="N196" s="132">
        <f t="shared" si="42"/>
        <v>31038.771577916665</v>
      </c>
      <c r="O196" s="132">
        <f t="shared" si="43"/>
        <v>34191.300155833334</v>
      </c>
    </row>
    <row r="197" spans="1:15" x14ac:dyDescent="0.25">
      <c r="A197" s="1" t="str">
        <f>+'Pricing Turkey'!A179</f>
        <v>STR1-2</v>
      </c>
      <c r="B197" s="75" t="str">
        <f>+'Pricing Turkey'!B179</f>
        <v>SET STRUCTURE 1400 X 1400 2 ETAGES EP 4MM</v>
      </c>
      <c r="C197" s="75" t="str">
        <f>+'Pricing Turkey'!C179</f>
        <v>STRUCTURE</v>
      </c>
      <c r="D197" s="75" t="str">
        <f>+'Pricing Turkey'!D179</f>
        <v>SET</v>
      </c>
      <c r="E197" s="75">
        <f>+'Pricing Turkey'!E179</f>
        <v>0</v>
      </c>
      <c r="F197" s="75" t="str">
        <f>+'Pricing Turkey'!F179</f>
        <v>STEEL</v>
      </c>
      <c r="G197" s="123">
        <f>'Pricing Turkey'!G179*G$7</f>
        <v>18865</v>
      </c>
      <c r="H197" s="123">
        <f t="shared" si="38"/>
        <v>3820.1625000000004</v>
      </c>
      <c r="I197" s="147">
        <f t="shared" si="35"/>
        <v>1994.0304999999998</v>
      </c>
      <c r="J197" s="123">
        <f t="shared" si="39"/>
        <v>3475.3071558333331</v>
      </c>
      <c r="K197" s="123">
        <f t="shared" si="40"/>
        <v>1320.5500000000002</v>
      </c>
      <c r="L197" s="123">
        <f t="shared" si="41"/>
        <v>4716.25</v>
      </c>
      <c r="M197" s="132">
        <f t="shared" si="44"/>
        <v>30095.521577916665</v>
      </c>
      <c r="N197" s="132">
        <f t="shared" si="42"/>
        <v>31038.771577916665</v>
      </c>
      <c r="O197" s="132">
        <f t="shared" si="43"/>
        <v>34191.300155833334</v>
      </c>
    </row>
    <row r="198" spans="1:15" x14ac:dyDescent="0.25">
      <c r="A198" s="1" t="str">
        <f>+'Pricing Turkey'!A180</f>
        <v>STR1-3</v>
      </c>
      <c r="B198" s="75" t="str">
        <f>+'Pricing Turkey'!B180</f>
        <v>SET STRUCTURE 1500 X 1500 2 ETAGES EP 4MM</v>
      </c>
      <c r="C198" s="75" t="str">
        <f>+'Pricing Turkey'!C180</f>
        <v>STRUCTURE</v>
      </c>
      <c r="D198" s="75" t="str">
        <f>+'Pricing Turkey'!D180</f>
        <v>SET</v>
      </c>
      <c r="E198" s="75">
        <f>+'Pricing Turkey'!E180</f>
        <v>0</v>
      </c>
      <c r="F198" s="75" t="str">
        <f>+'Pricing Turkey'!F180</f>
        <v>STEEL</v>
      </c>
      <c r="G198" s="123">
        <f>'Pricing Turkey'!G180*G$7</f>
        <v>18865</v>
      </c>
      <c r="H198" s="123">
        <f t="shared" si="38"/>
        <v>3820.1625000000004</v>
      </c>
      <c r="I198" s="147">
        <f t="shared" si="35"/>
        <v>1994.0304999999998</v>
      </c>
      <c r="J198" s="123">
        <f t="shared" si="39"/>
        <v>3475.3071558333331</v>
      </c>
      <c r="K198" s="123">
        <f t="shared" si="40"/>
        <v>1320.5500000000002</v>
      </c>
      <c r="L198" s="123">
        <f t="shared" si="41"/>
        <v>4716.25</v>
      </c>
      <c r="M198" s="132">
        <f t="shared" si="44"/>
        <v>30095.521577916665</v>
      </c>
      <c r="N198" s="132">
        <f t="shared" si="42"/>
        <v>31038.771577916665</v>
      </c>
      <c r="O198" s="132">
        <f t="shared" si="43"/>
        <v>34191.300155833334</v>
      </c>
    </row>
    <row r="199" spans="1:15" x14ac:dyDescent="0.25">
      <c r="A199" s="1" t="str">
        <f>+'Pricing Turkey'!A181</f>
        <v>STR1-4</v>
      </c>
      <c r="B199" s="75" t="str">
        <f>+'Pricing Turkey'!B181</f>
        <v>SET STRUCTURE 1600 X 1600 2 ETAGES EP 4MM</v>
      </c>
      <c r="C199" s="75" t="str">
        <f>+'Pricing Turkey'!C181</f>
        <v>STRUCTURE</v>
      </c>
      <c r="D199" s="75" t="str">
        <f>+'Pricing Turkey'!D181</f>
        <v>SET</v>
      </c>
      <c r="E199" s="75">
        <f>+'Pricing Turkey'!E181</f>
        <v>0</v>
      </c>
      <c r="F199" s="75" t="str">
        <f>+'Pricing Turkey'!F181</f>
        <v>STEEL</v>
      </c>
      <c r="G199" s="123">
        <f>'Pricing Turkey'!G181*G$7</f>
        <v>18865</v>
      </c>
      <c r="H199" s="123">
        <f t="shared" si="38"/>
        <v>3820.1625000000004</v>
      </c>
      <c r="I199" s="147">
        <f t="shared" si="35"/>
        <v>1994.0304999999998</v>
      </c>
      <c r="J199" s="123">
        <f t="shared" si="39"/>
        <v>3475.3071558333331</v>
      </c>
      <c r="K199" s="123">
        <f t="shared" si="40"/>
        <v>1320.5500000000002</v>
      </c>
      <c r="L199" s="123">
        <f t="shared" si="41"/>
        <v>4716.25</v>
      </c>
      <c r="M199" s="132">
        <f t="shared" si="44"/>
        <v>30095.521577916665</v>
      </c>
      <c r="N199" s="132">
        <f t="shared" si="42"/>
        <v>31038.771577916665</v>
      </c>
      <c r="O199" s="132">
        <f t="shared" si="43"/>
        <v>34191.300155833334</v>
      </c>
    </row>
    <row r="200" spans="1:15" x14ac:dyDescent="0.25">
      <c r="A200" s="1" t="str">
        <f>+'Pricing Turkey'!A182</f>
        <v>STR2-1</v>
      </c>
      <c r="B200" s="75" t="str">
        <f>+'Pricing Turkey'!B182</f>
        <v>SET STRUCTURE 1300 X 1300 3 ETAGES EP 4MM</v>
      </c>
      <c r="C200" s="75" t="str">
        <f>+'Pricing Turkey'!C182</f>
        <v>STRUCTURE</v>
      </c>
      <c r="D200" s="75" t="str">
        <f>+'Pricing Turkey'!D182</f>
        <v>SET</v>
      </c>
      <c r="E200" s="75">
        <f>+'Pricing Turkey'!E182</f>
        <v>0</v>
      </c>
      <c r="F200" s="75" t="str">
        <f>+'Pricing Turkey'!F182</f>
        <v>STEEL</v>
      </c>
      <c r="G200" s="123">
        <f>'Pricing Turkey'!G182*G$7</f>
        <v>26950.000000000004</v>
      </c>
      <c r="H200" s="123">
        <f t="shared" si="38"/>
        <v>5457.3750000000009</v>
      </c>
      <c r="I200" s="147">
        <f t="shared" si="35"/>
        <v>2848.6150000000002</v>
      </c>
      <c r="J200" s="123">
        <f t="shared" si="39"/>
        <v>4986.5135833333334</v>
      </c>
      <c r="K200" s="123">
        <f t="shared" si="40"/>
        <v>1886.5000000000005</v>
      </c>
      <c r="L200" s="123">
        <f t="shared" si="41"/>
        <v>6737.5000000000009</v>
      </c>
      <c r="M200" s="132">
        <f t="shared" si="44"/>
        <v>43004.496791666672</v>
      </c>
      <c r="N200" s="132">
        <f t="shared" si="42"/>
        <v>44351.996791666672</v>
      </c>
      <c r="O200" s="132">
        <f t="shared" si="43"/>
        <v>48866.503583333339</v>
      </c>
    </row>
    <row r="201" spans="1:15" x14ac:dyDescent="0.25">
      <c r="A201" s="1" t="str">
        <f>+'Pricing Turkey'!A183</f>
        <v>STR2-2</v>
      </c>
      <c r="B201" s="75" t="str">
        <f>+'Pricing Turkey'!B183</f>
        <v>SET STRUCTURE 1400 X 1400 3 ETAGES EP 4MM</v>
      </c>
      <c r="C201" s="75" t="str">
        <f>+'Pricing Turkey'!C183</f>
        <v>STRUCTURE</v>
      </c>
      <c r="D201" s="75" t="str">
        <f>+'Pricing Turkey'!D183</f>
        <v>SET</v>
      </c>
      <c r="E201" s="75">
        <f>+'Pricing Turkey'!E183</f>
        <v>0</v>
      </c>
      <c r="F201" s="75" t="str">
        <f>+'Pricing Turkey'!F183</f>
        <v>STEEL</v>
      </c>
      <c r="G201" s="123">
        <f>'Pricing Turkey'!G183*G$7</f>
        <v>26950.000000000004</v>
      </c>
      <c r="H201" s="123">
        <f t="shared" ref="H201:H216" si="45">IF(F201="STEEL",MAX(G201,E201*13)*20.25%,IF(F201="GALVA",MAX(G201,E201*24)*20.25%,IF(F201="INOX",MAX(G201,E201*40)*20.25%,IF(F201="COPPER",MAX(G201,E201*60)*20.25%,G201*20.25%))))</f>
        <v>5457.3750000000009</v>
      </c>
      <c r="I201" s="147">
        <f t="shared" si="35"/>
        <v>2848.6150000000002</v>
      </c>
      <c r="J201" s="123">
        <f t="shared" ref="J201:J216" si="46">(J$9+J$7*G201)/($G$5*$H$5)*G201</f>
        <v>4986.5135833333334</v>
      </c>
      <c r="K201" s="123">
        <f t="shared" ref="K201:K216" si="47">K$7*G201</f>
        <v>1886.5000000000005</v>
      </c>
      <c r="L201" s="123">
        <f t="shared" ref="L201:L216" si="48">+G201*L$7</f>
        <v>6737.5000000000009</v>
      </c>
      <c r="M201" s="132">
        <f t="shared" ref="M201:M216" si="49">+G201+H201+I201+J201*50%+K201+L201*50%</f>
        <v>43004.496791666672</v>
      </c>
      <c r="N201" s="132">
        <f t="shared" ref="N201:N216" si="50">+G201+H201+I201+J201*50%+K201+L201*70%</f>
        <v>44351.996791666672</v>
      </c>
      <c r="O201" s="132">
        <f t="shared" ref="O201:O216" si="51">+SUM(H201:L201)+G201</f>
        <v>48866.503583333339</v>
      </c>
    </row>
    <row r="202" spans="1:15" x14ac:dyDescent="0.25">
      <c r="A202" s="1" t="str">
        <f>+'Pricing Turkey'!A184</f>
        <v>STR2-3</v>
      </c>
      <c r="B202" s="75" t="str">
        <f>+'Pricing Turkey'!B184</f>
        <v>SET STRUCTURE 1500 X 1500 3 ETAGES EP 4MM</v>
      </c>
      <c r="C202" s="75" t="str">
        <f>+'Pricing Turkey'!C184</f>
        <v>STRUCTURE</v>
      </c>
      <c r="D202" s="75" t="str">
        <f>+'Pricing Turkey'!D184</f>
        <v>SET</v>
      </c>
      <c r="E202" s="75">
        <f>+'Pricing Turkey'!E184</f>
        <v>0</v>
      </c>
      <c r="F202" s="75" t="str">
        <f>+'Pricing Turkey'!F184</f>
        <v>STEEL</v>
      </c>
      <c r="G202" s="123">
        <f>'Pricing Turkey'!G184*G$7</f>
        <v>26950.000000000004</v>
      </c>
      <c r="H202" s="123">
        <f t="shared" si="45"/>
        <v>5457.3750000000009</v>
      </c>
      <c r="I202" s="147">
        <f t="shared" si="35"/>
        <v>2848.6150000000002</v>
      </c>
      <c r="J202" s="123">
        <f t="shared" si="46"/>
        <v>4986.5135833333334</v>
      </c>
      <c r="K202" s="123">
        <f t="shared" si="47"/>
        <v>1886.5000000000005</v>
      </c>
      <c r="L202" s="123">
        <f t="shared" si="48"/>
        <v>6737.5000000000009</v>
      </c>
      <c r="M202" s="132">
        <f t="shared" si="49"/>
        <v>43004.496791666672</v>
      </c>
      <c r="N202" s="132">
        <f t="shared" si="50"/>
        <v>44351.996791666672</v>
      </c>
      <c r="O202" s="132">
        <f t="shared" si="51"/>
        <v>48866.503583333339</v>
      </c>
    </row>
    <row r="203" spans="1:15" x14ac:dyDescent="0.25">
      <c r="A203" s="1" t="str">
        <f>+'Pricing Turkey'!A185</f>
        <v>STR2-4</v>
      </c>
      <c r="B203" s="75" t="str">
        <f>+'Pricing Turkey'!B185</f>
        <v>SET STRUCTURE 1600 X 1600 3 ETAGES EP 4MM</v>
      </c>
      <c r="C203" s="75" t="str">
        <f>+'Pricing Turkey'!C185</f>
        <v>STRUCTURE</v>
      </c>
      <c r="D203" s="75" t="str">
        <f>+'Pricing Turkey'!D185</f>
        <v>SET</v>
      </c>
      <c r="E203" s="75">
        <f>+'Pricing Turkey'!E185</f>
        <v>0</v>
      </c>
      <c r="F203" s="75" t="str">
        <f>+'Pricing Turkey'!F185</f>
        <v>STEEL</v>
      </c>
      <c r="G203" s="123">
        <f>'Pricing Turkey'!G185*G$7</f>
        <v>26950.000000000004</v>
      </c>
      <c r="H203" s="123">
        <f t="shared" si="45"/>
        <v>5457.3750000000009</v>
      </c>
      <c r="I203" s="147">
        <f t="shared" si="35"/>
        <v>2848.6150000000002</v>
      </c>
      <c r="J203" s="123">
        <f t="shared" si="46"/>
        <v>4986.5135833333334</v>
      </c>
      <c r="K203" s="123">
        <f t="shared" si="47"/>
        <v>1886.5000000000005</v>
      </c>
      <c r="L203" s="123">
        <f t="shared" si="48"/>
        <v>6737.5000000000009</v>
      </c>
      <c r="M203" s="132">
        <f t="shared" si="49"/>
        <v>43004.496791666672</v>
      </c>
      <c r="N203" s="132">
        <f t="shared" si="50"/>
        <v>44351.996791666672</v>
      </c>
      <c r="O203" s="132">
        <f t="shared" si="51"/>
        <v>48866.503583333339</v>
      </c>
    </row>
    <row r="204" spans="1:15" x14ac:dyDescent="0.25">
      <c r="A204" s="1" t="str">
        <f>+'Pricing Turkey'!A186</f>
        <v>STR3-1</v>
      </c>
      <c r="B204" s="75" t="str">
        <f>+'Pricing Turkey'!B186</f>
        <v>SET STRUCTURE 1300 X 1300 4 ETAGES EP 4MM</v>
      </c>
      <c r="C204" s="75" t="str">
        <f>+'Pricing Turkey'!C186</f>
        <v>STRUCTURE</v>
      </c>
      <c r="D204" s="75" t="str">
        <f>+'Pricing Turkey'!D186</f>
        <v>SET</v>
      </c>
      <c r="E204" s="75">
        <f>+'Pricing Turkey'!E186</f>
        <v>0</v>
      </c>
      <c r="F204" s="75" t="str">
        <f>+'Pricing Turkey'!F186</f>
        <v>STEEL</v>
      </c>
      <c r="G204" s="123">
        <f>'Pricing Turkey'!G186*G$7</f>
        <v>35035</v>
      </c>
      <c r="H204" s="123">
        <f t="shared" si="45"/>
        <v>7094.5875000000005</v>
      </c>
      <c r="I204" s="147">
        <f t="shared" si="35"/>
        <v>3703.1994999999997</v>
      </c>
      <c r="J204" s="123">
        <f t="shared" si="46"/>
        <v>6510.7934558333336</v>
      </c>
      <c r="K204" s="123">
        <f t="shared" si="47"/>
        <v>2452.4500000000003</v>
      </c>
      <c r="L204" s="123">
        <f t="shared" si="48"/>
        <v>8758.75</v>
      </c>
      <c r="M204" s="132">
        <f t="shared" si="49"/>
        <v>55920.008727916669</v>
      </c>
      <c r="N204" s="132">
        <f t="shared" si="50"/>
        <v>57671.758727916669</v>
      </c>
      <c r="O204" s="132">
        <f t="shared" si="51"/>
        <v>63554.78045583333</v>
      </c>
    </row>
    <row r="205" spans="1:15" x14ac:dyDescent="0.25">
      <c r="A205" s="1" t="str">
        <f>+'Pricing Turkey'!A187</f>
        <v>STR3-2</v>
      </c>
      <c r="B205" s="75" t="str">
        <f>+'Pricing Turkey'!B187</f>
        <v>SET STRUCTURE 1400 X 1400 4 ETAGES EP 4MM</v>
      </c>
      <c r="C205" s="75" t="str">
        <f>+'Pricing Turkey'!C187</f>
        <v>STRUCTURE</v>
      </c>
      <c r="D205" s="75" t="str">
        <f>+'Pricing Turkey'!D187</f>
        <v>SET</v>
      </c>
      <c r="E205" s="75">
        <f>+'Pricing Turkey'!E187</f>
        <v>0</v>
      </c>
      <c r="F205" s="75" t="str">
        <f>+'Pricing Turkey'!F187</f>
        <v>STEEL</v>
      </c>
      <c r="G205" s="123">
        <f>'Pricing Turkey'!G187*G$7</f>
        <v>35035</v>
      </c>
      <c r="H205" s="123">
        <f t="shared" si="45"/>
        <v>7094.5875000000005</v>
      </c>
      <c r="I205" s="147">
        <f t="shared" si="35"/>
        <v>3703.1994999999997</v>
      </c>
      <c r="J205" s="123">
        <f t="shared" si="46"/>
        <v>6510.7934558333336</v>
      </c>
      <c r="K205" s="123">
        <f t="shared" si="47"/>
        <v>2452.4500000000003</v>
      </c>
      <c r="L205" s="123">
        <f t="shared" si="48"/>
        <v>8758.75</v>
      </c>
      <c r="M205" s="132">
        <f t="shared" si="49"/>
        <v>55920.008727916669</v>
      </c>
      <c r="N205" s="132">
        <f t="shared" si="50"/>
        <v>57671.758727916669</v>
      </c>
      <c r="O205" s="132">
        <f t="shared" si="51"/>
        <v>63554.78045583333</v>
      </c>
    </row>
    <row r="206" spans="1:15" x14ac:dyDescent="0.25">
      <c r="A206" s="1" t="str">
        <f>+'Pricing Turkey'!A188</f>
        <v>STR3-3</v>
      </c>
      <c r="B206" s="75" t="str">
        <f>+'Pricing Turkey'!B188</f>
        <v>SET STRUCTURE 1500 X 1500 4 ETAGES EP 4MM</v>
      </c>
      <c r="C206" s="75" t="str">
        <f>+'Pricing Turkey'!C188</f>
        <v>STRUCTURE</v>
      </c>
      <c r="D206" s="75" t="str">
        <f>+'Pricing Turkey'!D188</f>
        <v>SET</v>
      </c>
      <c r="E206" s="75">
        <f>+'Pricing Turkey'!E188</f>
        <v>0</v>
      </c>
      <c r="F206" s="75" t="str">
        <f>+'Pricing Turkey'!F188</f>
        <v>STEEL</v>
      </c>
      <c r="G206" s="123">
        <f>'Pricing Turkey'!G188*G$7</f>
        <v>35035</v>
      </c>
      <c r="H206" s="123">
        <f t="shared" si="45"/>
        <v>7094.5875000000005</v>
      </c>
      <c r="I206" s="147">
        <f t="shared" si="35"/>
        <v>3703.1994999999997</v>
      </c>
      <c r="J206" s="123">
        <f t="shared" si="46"/>
        <v>6510.7934558333336</v>
      </c>
      <c r="K206" s="123">
        <f t="shared" si="47"/>
        <v>2452.4500000000003</v>
      </c>
      <c r="L206" s="123">
        <f t="shared" si="48"/>
        <v>8758.75</v>
      </c>
      <c r="M206" s="132">
        <f t="shared" si="49"/>
        <v>55920.008727916669</v>
      </c>
      <c r="N206" s="132">
        <f t="shared" si="50"/>
        <v>57671.758727916669</v>
      </c>
      <c r="O206" s="132">
        <f t="shared" si="51"/>
        <v>63554.78045583333</v>
      </c>
    </row>
    <row r="207" spans="1:15" x14ac:dyDescent="0.25">
      <c r="A207" s="1" t="str">
        <f>+'Pricing Turkey'!A189</f>
        <v>STR3-4</v>
      </c>
      <c r="B207" s="75" t="str">
        <f>+'Pricing Turkey'!B189</f>
        <v>SET STRUCTURE 1600 X 1600 4 ETAGES EP 4MM</v>
      </c>
      <c r="C207" s="75" t="str">
        <f>+'Pricing Turkey'!C189</f>
        <v>STRUCTURE</v>
      </c>
      <c r="D207" s="75" t="str">
        <f>+'Pricing Turkey'!D189</f>
        <v>SET</v>
      </c>
      <c r="E207" s="75">
        <f>+'Pricing Turkey'!E189</f>
        <v>0</v>
      </c>
      <c r="F207" s="75" t="str">
        <f>+'Pricing Turkey'!F189</f>
        <v>STEEL</v>
      </c>
      <c r="G207" s="123">
        <f>'Pricing Turkey'!G189*G$7</f>
        <v>35035</v>
      </c>
      <c r="H207" s="123">
        <f t="shared" si="45"/>
        <v>7094.5875000000005</v>
      </c>
      <c r="I207" s="147">
        <f t="shared" si="35"/>
        <v>3703.1994999999997</v>
      </c>
      <c r="J207" s="123">
        <f t="shared" si="46"/>
        <v>6510.7934558333336</v>
      </c>
      <c r="K207" s="123">
        <f t="shared" si="47"/>
        <v>2452.4500000000003</v>
      </c>
      <c r="L207" s="123">
        <f t="shared" si="48"/>
        <v>8758.75</v>
      </c>
      <c r="M207" s="132">
        <f t="shared" si="49"/>
        <v>55920.008727916669</v>
      </c>
      <c r="N207" s="132">
        <f t="shared" si="50"/>
        <v>57671.758727916669</v>
      </c>
      <c r="O207" s="132">
        <f t="shared" si="51"/>
        <v>63554.78045583333</v>
      </c>
    </row>
    <row r="208" spans="1:15" x14ac:dyDescent="0.25">
      <c r="A208" s="1" t="str">
        <f>+'Pricing Turkey'!A190</f>
        <v>STR4-1</v>
      </c>
      <c r="B208" s="75" t="str">
        <f>+'Pricing Turkey'!B190</f>
        <v>SET STRUCTURE 1300 X 1300 5 ETAGES EP 4MM</v>
      </c>
      <c r="C208" s="75" t="str">
        <f>+'Pricing Turkey'!C190</f>
        <v>STRUCTURE</v>
      </c>
      <c r="D208" s="75" t="str">
        <f>+'Pricing Turkey'!D190</f>
        <v>SET</v>
      </c>
      <c r="E208" s="75">
        <f>+'Pricing Turkey'!E190</f>
        <v>0</v>
      </c>
      <c r="F208" s="75" t="str">
        <f>+'Pricing Turkey'!F190</f>
        <v>STEEL</v>
      </c>
      <c r="G208" s="123">
        <f>'Pricing Turkey'!G190*G$7</f>
        <v>43120</v>
      </c>
      <c r="H208" s="123">
        <f t="shared" si="45"/>
        <v>8731.8000000000011</v>
      </c>
      <c r="I208" s="147">
        <f t="shared" si="35"/>
        <v>4557.7839999999997</v>
      </c>
      <c r="J208" s="123">
        <f t="shared" si="46"/>
        <v>8048.1467733333329</v>
      </c>
      <c r="K208" s="123">
        <f t="shared" si="47"/>
        <v>3018.4</v>
      </c>
      <c r="L208" s="123">
        <f t="shared" si="48"/>
        <v>10780</v>
      </c>
      <c r="M208" s="132">
        <f t="shared" si="49"/>
        <v>68842.057386666667</v>
      </c>
      <c r="N208" s="132">
        <f t="shared" si="50"/>
        <v>70998.057386666667</v>
      </c>
      <c r="O208" s="132">
        <f t="shared" si="51"/>
        <v>78256.130773333338</v>
      </c>
    </row>
    <row r="209" spans="1:15" x14ac:dyDescent="0.25">
      <c r="A209" s="1" t="str">
        <f>+'Pricing Turkey'!A191</f>
        <v>STR4-2</v>
      </c>
      <c r="B209" s="75" t="str">
        <f>+'Pricing Turkey'!B191</f>
        <v>SET STRUCTURE 1400 X 1400 5 ETAGES EP 4MM</v>
      </c>
      <c r="C209" s="75" t="str">
        <f>+'Pricing Turkey'!C191</f>
        <v>STRUCTURE</v>
      </c>
      <c r="D209" s="75" t="str">
        <f>+'Pricing Turkey'!D191</f>
        <v>SET</v>
      </c>
      <c r="E209" s="75">
        <f>+'Pricing Turkey'!E191</f>
        <v>0</v>
      </c>
      <c r="F209" s="75" t="str">
        <f>+'Pricing Turkey'!F191</f>
        <v>STEEL</v>
      </c>
      <c r="G209" s="123">
        <f>'Pricing Turkey'!G191*G$7</f>
        <v>43120</v>
      </c>
      <c r="H209" s="123">
        <f t="shared" si="45"/>
        <v>8731.8000000000011</v>
      </c>
      <c r="I209" s="147">
        <f t="shared" si="35"/>
        <v>4557.7839999999997</v>
      </c>
      <c r="J209" s="123">
        <f t="shared" si="46"/>
        <v>8048.1467733333329</v>
      </c>
      <c r="K209" s="123">
        <f t="shared" si="47"/>
        <v>3018.4</v>
      </c>
      <c r="L209" s="123">
        <f t="shared" si="48"/>
        <v>10780</v>
      </c>
      <c r="M209" s="132">
        <f t="shared" si="49"/>
        <v>68842.057386666667</v>
      </c>
      <c r="N209" s="132">
        <f t="shared" si="50"/>
        <v>70998.057386666667</v>
      </c>
      <c r="O209" s="132">
        <f t="shared" si="51"/>
        <v>78256.130773333338</v>
      </c>
    </row>
    <row r="210" spans="1:15" x14ac:dyDescent="0.25">
      <c r="A210" s="1" t="str">
        <f>+'Pricing Turkey'!A192</f>
        <v>STR4-3</v>
      </c>
      <c r="B210" s="75" t="str">
        <f>+'Pricing Turkey'!B192</f>
        <v>SET STRUCTURE 1500 X 1500 5 ETAGES EP 4MM</v>
      </c>
      <c r="C210" s="75" t="str">
        <f>+'Pricing Turkey'!C192</f>
        <v>STRUCTURE</v>
      </c>
      <c r="D210" s="75" t="str">
        <f>+'Pricing Turkey'!D192</f>
        <v>SET</v>
      </c>
      <c r="E210" s="75">
        <f>+'Pricing Turkey'!E192</f>
        <v>0</v>
      </c>
      <c r="F210" s="75" t="str">
        <f>+'Pricing Turkey'!F192</f>
        <v>STEEL</v>
      </c>
      <c r="G210" s="123">
        <f>'Pricing Turkey'!G192*G$7</f>
        <v>43120</v>
      </c>
      <c r="H210" s="123">
        <f t="shared" si="45"/>
        <v>8731.8000000000011</v>
      </c>
      <c r="I210" s="147">
        <f t="shared" si="35"/>
        <v>4557.7839999999997</v>
      </c>
      <c r="J210" s="123">
        <f t="shared" si="46"/>
        <v>8048.1467733333329</v>
      </c>
      <c r="K210" s="123">
        <f t="shared" si="47"/>
        <v>3018.4</v>
      </c>
      <c r="L210" s="123">
        <f t="shared" si="48"/>
        <v>10780</v>
      </c>
      <c r="M210" s="132">
        <f t="shared" si="49"/>
        <v>68842.057386666667</v>
      </c>
      <c r="N210" s="132">
        <f t="shared" si="50"/>
        <v>70998.057386666667</v>
      </c>
      <c r="O210" s="132">
        <f t="shared" si="51"/>
        <v>78256.130773333338</v>
      </c>
    </row>
    <row r="211" spans="1:15" x14ac:dyDescent="0.25">
      <c r="A211" s="1" t="str">
        <f>+'Pricing Turkey'!A193</f>
        <v>STR4-4</v>
      </c>
      <c r="B211" s="75" t="str">
        <f>+'Pricing Turkey'!B193</f>
        <v>SET STRUCTURE 1600 X 1600 5 ETAGES EP 4MM</v>
      </c>
      <c r="C211" s="75" t="str">
        <f>+'Pricing Turkey'!C193</f>
        <v>STRUCTURE</v>
      </c>
      <c r="D211" s="75" t="str">
        <f>+'Pricing Turkey'!D193</f>
        <v>SET</v>
      </c>
      <c r="E211" s="75">
        <f>+'Pricing Turkey'!E193</f>
        <v>0</v>
      </c>
      <c r="F211" s="75" t="str">
        <f>+'Pricing Turkey'!F193</f>
        <v>STEEL</v>
      </c>
      <c r="G211" s="123">
        <f>'Pricing Turkey'!G193*G$7</f>
        <v>43120</v>
      </c>
      <c r="H211" s="123">
        <f t="shared" si="45"/>
        <v>8731.8000000000011</v>
      </c>
      <c r="I211" s="147">
        <f t="shared" si="35"/>
        <v>4557.7839999999997</v>
      </c>
      <c r="J211" s="123">
        <f t="shared" si="46"/>
        <v>8048.1467733333329</v>
      </c>
      <c r="K211" s="123">
        <f t="shared" si="47"/>
        <v>3018.4</v>
      </c>
      <c r="L211" s="123">
        <f t="shared" si="48"/>
        <v>10780</v>
      </c>
      <c r="M211" s="132">
        <f t="shared" si="49"/>
        <v>68842.057386666667</v>
      </c>
      <c r="N211" s="132">
        <f t="shared" si="50"/>
        <v>70998.057386666667</v>
      </c>
      <c r="O211" s="132">
        <f t="shared" si="51"/>
        <v>78256.130773333338</v>
      </c>
    </row>
    <row r="212" spans="1:15" x14ac:dyDescent="0.25">
      <c r="A212" s="1" t="str">
        <f>+'Pricing Turkey'!A194</f>
        <v>STR5-1</v>
      </c>
      <c r="B212" s="75" t="str">
        <f>+'Pricing Turkey'!B194</f>
        <v>SET STRUCTURE 1300 X 1300 6 ETAGES EP 4MM</v>
      </c>
      <c r="C212" s="75" t="str">
        <f>+'Pricing Turkey'!C194</f>
        <v>STRUCTURE</v>
      </c>
      <c r="D212" s="75" t="str">
        <f>+'Pricing Turkey'!D194</f>
        <v>SET</v>
      </c>
      <c r="E212" s="75">
        <f>+'Pricing Turkey'!E194</f>
        <v>0</v>
      </c>
      <c r="F212" s="75" t="str">
        <f>+'Pricing Turkey'!F194</f>
        <v>STEEL</v>
      </c>
      <c r="G212" s="123">
        <f>'Pricing Turkey'!G194*G$7</f>
        <v>51205.000000000007</v>
      </c>
      <c r="H212" s="123">
        <f t="shared" si="45"/>
        <v>10369.012500000003</v>
      </c>
      <c r="I212" s="147">
        <f t="shared" si="35"/>
        <v>5412.3685000000005</v>
      </c>
      <c r="J212" s="123">
        <f t="shared" si="46"/>
        <v>9598.573535833335</v>
      </c>
      <c r="K212" s="123">
        <f t="shared" si="47"/>
        <v>3584.3500000000008</v>
      </c>
      <c r="L212" s="123">
        <f t="shared" si="48"/>
        <v>12801.250000000002</v>
      </c>
      <c r="M212" s="132">
        <f t="shared" si="49"/>
        <v>81770.642767916681</v>
      </c>
      <c r="N212" s="132">
        <f t="shared" si="50"/>
        <v>84330.892767916681</v>
      </c>
      <c r="O212" s="132">
        <f t="shared" si="51"/>
        <v>92970.554535833347</v>
      </c>
    </row>
    <row r="213" spans="1:15" x14ac:dyDescent="0.25">
      <c r="A213" s="1" t="str">
        <f>+'Pricing Turkey'!A195</f>
        <v>STR5-2</v>
      </c>
      <c r="B213" s="75" t="str">
        <f>+'Pricing Turkey'!B195</f>
        <v>SET STRUCTURE 1400 X 1400 6 ETAGES EP 4MM</v>
      </c>
      <c r="C213" s="75" t="str">
        <f>+'Pricing Turkey'!C195</f>
        <v>STRUCTURE</v>
      </c>
      <c r="D213" s="75" t="str">
        <f>+'Pricing Turkey'!D195</f>
        <v>SET</v>
      </c>
      <c r="E213" s="75">
        <f>+'Pricing Turkey'!E195</f>
        <v>0</v>
      </c>
      <c r="F213" s="75" t="str">
        <f>+'Pricing Turkey'!F195</f>
        <v>STEEL</v>
      </c>
      <c r="G213" s="123">
        <f>'Pricing Turkey'!G195*G$7</f>
        <v>51205.000000000007</v>
      </c>
      <c r="H213" s="123">
        <f t="shared" si="45"/>
        <v>10369.012500000003</v>
      </c>
      <c r="I213" s="147">
        <f t="shared" si="35"/>
        <v>5412.3685000000005</v>
      </c>
      <c r="J213" s="123">
        <f t="shared" si="46"/>
        <v>9598.573535833335</v>
      </c>
      <c r="K213" s="123">
        <f t="shared" si="47"/>
        <v>3584.3500000000008</v>
      </c>
      <c r="L213" s="123">
        <f t="shared" si="48"/>
        <v>12801.250000000002</v>
      </c>
      <c r="M213" s="132">
        <f t="shared" si="49"/>
        <v>81770.642767916681</v>
      </c>
      <c r="N213" s="132">
        <f t="shared" si="50"/>
        <v>84330.892767916681</v>
      </c>
      <c r="O213" s="132">
        <f t="shared" si="51"/>
        <v>92970.554535833347</v>
      </c>
    </row>
    <row r="214" spans="1:15" x14ac:dyDescent="0.25">
      <c r="A214" s="1" t="str">
        <f>+'Pricing Turkey'!A196</f>
        <v>STR5-3</v>
      </c>
      <c r="B214" s="75" t="str">
        <f>+'Pricing Turkey'!B196</f>
        <v>SET STRUCTURE 1500 X 1500 6 ETAGES EP 4MM</v>
      </c>
      <c r="C214" s="75" t="str">
        <f>+'Pricing Turkey'!C196</f>
        <v>STRUCTURE</v>
      </c>
      <c r="D214" s="75" t="str">
        <f>+'Pricing Turkey'!D196</f>
        <v>SET</v>
      </c>
      <c r="E214" s="75">
        <f>+'Pricing Turkey'!E196</f>
        <v>0</v>
      </c>
      <c r="F214" s="75" t="str">
        <f>+'Pricing Turkey'!F196</f>
        <v>STEEL</v>
      </c>
      <c r="G214" s="123">
        <f>'Pricing Turkey'!G196*G$7</f>
        <v>51205.000000000007</v>
      </c>
      <c r="H214" s="123">
        <f t="shared" si="45"/>
        <v>10369.012500000003</v>
      </c>
      <c r="I214" s="147">
        <f t="shared" ref="I214:I239" si="52">+((I$9*G$7+I$11+I$13+I$15+I$17)*(1+I$7)+2500)/($G$5*$H$5)*G214</f>
        <v>5412.3685000000005</v>
      </c>
      <c r="J214" s="123">
        <f t="shared" si="46"/>
        <v>9598.573535833335</v>
      </c>
      <c r="K214" s="123">
        <f t="shared" si="47"/>
        <v>3584.3500000000008</v>
      </c>
      <c r="L214" s="123">
        <f t="shared" si="48"/>
        <v>12801.250000000002</v>
      </c>
      <c r="M214" s="132">
        <f t="shared" si="49"/>
        <v>81770.642767916681</v>
      </c>
      <c r="N214" s="132">
        <f t="shared" si="50"/>
        <v>84330.892767916681</v>
      </c>
      <c r="O214" s="132">
        <f t="shared" si="51"/>
        <v>92970.554535833347</v>
      </c>
    </row>
    <row r="215" spans="1:15" x14ac:dyDescent="0.25">
      <c r="A215" s="1" t="str">
        <f>+'Pricing Turkey'!A197</f>
        <v>STR5-4</v>
      </c>
      <c r="B215" s="75" t="str">
        <f>+'Pricing Turkey'!B197</f>
        <v>SET STRUCTURE 1600 X 1600 6 ETAGES EP 4MM</v>
      </c>
      <c r="C215" s="75" t="str">
        <f>+'Pricing Turkey'!C197</f>
        <v>STRUCTURE</v>
      </c>
      <c r="D215" s="75" t="str">
        <f>+'Pricing Turkey'!D197</f>
        <v>SET</v>
      </c>
      <c r="E215" s="75">
        <f>+'Pricing Turkey'!E197</f>
        <v>0</v>
      </c>
      <c r="F215" s="75" t="str">
        <f>+'Pricing Turkey'!F197</f>
        <v>STEEL</v>
      </c>
      <c r="G215" s="123">
        <f>'Pricing Turkey'!G197*G$7</f>
        <v>51205.000000000007</v>
      </c>
      <c r="H215" s="123">
        <f t="shared" si="45"/>
        <v>10369.012500000003</v>
      </c>
      <c r="I215" s="147">
        <f t="shared" si="52"/>
        <v>5412.3685000000005</v>
      </c>
      <c r="J215" s="123">
        <f t="shared" si="46"/>
        <v>9598.573535833335</v>
      </c>
      <c r="K215" s="123">
        <f t="shared" si="47"/>
        <v>3584.3500000000008</v>
      </c>
      <c r="L215" s="123">
        <f t="shared" si="48"/>
        <v>12801.250000000002</v>
      </c>
      <c r="M215" s="132">
        <f t="shared" si="49"/>
        <v>81770.642767916681</v>
      </c>
      <c r="N215" s="132">
        <f t="shared" si="50"/>
        <v>84330.892767916681</v>
      </c>
      <c r="O215" s="132">
        <f t="shared" si="51"/>
        <v>92970.554535833347</v>
      </c>
    </row>
    <row r="216" spans="1:15" x14ac:dyDescent="0.25">
      <c r="A216" s="1" t="str">
        <f>+'Pricing Turkey'!A198</f>
        <v>STR6-1</v>
      </c>
      <c r="B216" s="75" t="str">
        <f>+'Pricing Turkey'!B198</f>
        <v>SET STRUCTURE 1300 X 1300 7 ETAGES EP 4MM</v>
      </c>
      <c r="C216" s="75" t="str">
        <f>+'Pricing Turkey'!C198</f>
        <v>STRUCTURE</v>
      </c>
      <c r="D216" s="75" t="str">
        <f>+'Pricing Turkey'!D198</f>
        <v>SET</v>
      </c>
      <c r="E216" s="75">
        <f>+'Pricing Turkey'!E198</f>
        <v>0</v>
      </c>
      <c r="F216" s="75" t="str">
        <f>+'Pricing Turkey'!F198</f>
        <v>STEEL</v>
      </c>
      <c r="G216" s="123">
        <f>'Pricing Turkey'!G198*G$7</f>
        <v>59290.000000000007</v>
      </c>
      <c r="H216" s="123">
        <f t="shared" si="45"/>
        <v>12006.225000000002</v>
      </c>
      <c r="I216" s="147">
        <f t="shared" si="52"/>
        <v>6266.9530000000004</v>
      </c>
      <c r="J216" s="123">
        <f t="shared" si="46"/>
        <v>11162.073743333334</v>
      </c>
      <c r="K216" s="123">
        <f t="shared" si="47"/>
        <v>4150.3000000000011</v>
      </c>
      <c r="L216" s="123">
        <f t="shared" si="48"/>
        <v>14822.500000000002</v>
      </c>
      <c r="M216" s="132">
        <f t="shared" si="49"/>
        <v>94705.764871666674</v>
      </c>
      <c r="N216" s="132">
        <f t="shared" si="50"/>
        <v>97670.264871666674</v>
      </c>
      <c r="O216" s="132">
        <f t="shared" si="51"/>
        <v>107698.05174333334</v>
      </c>
    </row>
    <row r="217" spans="1:15" x14ac:dyDescent="0.25">
      <c r="A217" s="1" t="str">
        <f>+'Pricing Turkey'!A199</f>
        <v>STR6-2</v>
      </c>
      <c r="B217" s="75" t="str">
        <f>+'Pricing Turkey'!B199</f>
        <v>SET STRUCTURE 1400 X 1400 7 ETAGES EP 4MM</v>
      </c>
      <c r="C217" s="75" t="str">
        <f>+'Pricing Turkey'!C199</f>
        <v>STRUCTURE</v>
      </c>
      <c r="D217" s="75" t="str">
        <f>+'Pricing Turkey'!D199</f>
        <v>SET</v>
      </c>
      <c r="E217" s="75">
        <f>+'Pricing Turkey'!E199</f>
        <v>0</v>
      </c>
      <c r="F217" s="75" t="str">
        <f>+'Pricing Turkey'!F199</f>
        <v>STEEL</v>
      </c>
      <c r="G217" s="123">
        <f>'Pricing Turkey'!G199*G$7</f>
        <v>59290.000000000007</v>
      </c>
      <c r="H217" s="123">
        <f t="shared" ref="H217:H239" si="53">IF(F217="STEEL",MAX(G217,E217*13)*20.25%,IF(F217="GALVA",MAX(G217,E217*24)*20.25%,IF(F217="INOX",MAX(G217,E217*40)*20.25%,IF(F217="COPPER",MAX(G217,E217*60)*20.25%,G217*20.25%))))</f>
        <v>12006.225000000002</v>
      </c>
      <c r="I217" s="147">
        <f t="shared" si="52"/>
        <v>6266.9530000000004</v>
      </c>
      <c r="J217" s="123">
        <f t="shared" ref="J217:J239" si="54">(J$9+J$7*G217)/($G$5*$H$5)*G217</f>
        <v>11162.073743333334</v>
      </c>
      <c r="K217" s="123">
        <f t="shared" ref="K217:K239" si="55">K$7*G217</f>
        <v>4150.3000000000011</v>
      </c>
      <c r="L217" s="123">
        <f t="shared" ref="L217:L239" si="56">+G217*L$7</f>
        <v>14822.500000000002</v>
      </c>
      <c r="M217" s="132">
        <f t="shared" ref="M217:M239" si="57">+G217+H217+I217+J217*50%+K217+L217*50%</f>
        <v>94705.764871666674</v>
      </c>
      <c r="N217" s="132">
        <f t="shared" ref="N217:N239" si="58">+G217+H217+I217+J217*50%+K217+L217*70%</f>
        <v>97670.264871666674</v>
      </c>
      <c r="O217" s="132">
        <f t="shared" ref="O217:O239" si="59">+SUM(H217:L217)+G217</f>
        <v>107698.05174333334</v>
      </c>
    </row>
    <row r="218" spans="1:15" x14ac:dyDescent="0.25">
      <c r="A218" s="1" t="str">
        <f>+'Pricing Turkey'!A200</f>
        <v>STR6-3</v>
      </c>
      <c r="B218" s="75" t="str">
        <f>+'Pricing Turkey'!B200</f>
        <v>SET STRUCTURE 1500 X 1500 7 ETAGES EP 4MM</v>
      </c>
      <c r="C218" s="75" t="str">
        <f>+'Pricing Turkey'!C200</f>
        <v>STRUCTURE</v>
      </c>
      <c r="D218" s="75" t="str">
        <f>+'Pricing Turkey'!D200</f>
        <v>SET</v>
      </c>
      <c r="E218" s="75">
        <f>+'Pricing Turkey'!E200</f>
        <v>0</v>
      </c>
      <c r="F218" s="75" t="str">
        <f>+'Pricing Turkey'!F200</f>
        <v>STEEL</v>
      </c>
      <c r="G218" s="123">
        <f>'Pricing Turkey'!G200*G$7</f>
        <v>59290.000000000007</v>
      </c>
      <c r="H218" s="123">
        <f t="shared" si="53"/>
        <v>12006.225000000002</v>
      </c>
      <c r="I218" s="147">
        <f t="shared" si="52"/>
        <v>6266.9530000000004</v>
      </c>
      <c r="J218" s="123">
        <f t="shared" si="54"/>
        <v>11162.073743333334</v>
      </c>
      <c r="K218" s="123">
        <f t="shared" si="55"/>
        <v>4150.3000000000011</v>
      </c>
      <c r="L218" s="123">
        <f t="shared" si="56"/>
        <v>14822.500000000002</v>
      </c>
      <c r="M218" s="132">
        <f t="shared" si="57"/>
        <v>94705.764871666674</v>
      </c>
      <c r="N218" s="132">
        <f t="shared" si="58"/>
        <v>97670.264871666674</v>
      </c>
      <c r="O218" s="132">
        <f t="shared" si="59"/>
        <v>107698.05174333334</v>
      </c>
    </row>
    <row r="219" spans="1:15" x14ac:dyDescent="0.25">
      <c r="A219" s="1" t="str">
        <f>+'Pricing Turkey'!A201</f>
        <v>STR6-4</v>
      </c>
      <c r="B219" s="75" t="str">
        <f>+'Pricing Turkey'!B201</f>
        <v>SET STRUCTURE 1600 X 1600 7 ETAGES EP 4MM</v>
      </c>
      <c r="C219" s="75" t="str">
        <f>+'Pricing Turkey'!C201</f>
        <v>STRUCTURE</v>
      </c>
      <c r="D219" s="75" t="str">
        <f>+'Pricing Turkey'!D201</f>
        <v>SET</v>
      </c>
      <c r="E219" s="75">
        <f>+'Pricing Turkey'!E201</f>
        <v>0</v>
      </c>
      <c r="F219" s="75" t="str">
        <f>+'Pricing Turkey'!F201</f>
        <v>STEEL</v>
      </c>
      <c r="G219" s="123">
        <f>'Pricing Turkey'!G201*G$7</f>
        <v>59290.000000000007</v>
      </c>
      <c r="H219" s="123">
        <f t="shared" si="53"/>
        <v>12006.225000000002</v>
      </c>
      <c r="I219" s="147">
        <f t="shared" si="52"/>
        <v>6266.9530000000004</v>
      </c>
      <c r="J219" s="123">
        <f t="shared" si="54"/>
        <v>11162.073743333334</v>
      </c>
      <c r="K219" s="123">
        <f t="shared" si="55"/>
        <v>4150.3000000000011</v>
      </c>
      <c r="L219" s="123">
        <f t="shared" si="56"/>
        <v>14822.500000000002</v>
      </c>
      <c r="M219" s="132">
        <f t="shared" si="57"/>
        <v>94705.764871666674</v>
      </c>
      <c r="N219" s="132">
        <f t="shared" si="58"/>
        <v>97670.264871666674</v>
      </c>
      <c r="O219" s="132">
        <f t="shared" si="59"/>
        <v>107698.05174333334</v>
      </c>
    </row>
    <row r="220" spans="1:15" x14ac:dyDescent="0.25">
      <c r="A220" s="1" t="str">
        <f>+'Pricing Turkey'!A202</f>
        <v>STR7-1</v>
      </c>
      <c r="B220" s="75" t="str">
        <f>+'Pricing Turkey'!B202</f>
        <v>SET STRUCTURE 1300 X 1300 8 ETAGES EP 4MM</v>
      </c>
      <c r="C220" s="75" t="str">
        <f>+'Pricing Turkey'!C202</f>
        <v>STRUCTURE</v>
      </c>
      <c r="D220" s="75" t="str">
        <f>+'Pricing Turkey'!D202</f>
        <v>SET</v>
      </c>
      <c r="E220" s="75">
        <f>+'Pricing Turkey'!E202</f>
        <v>0</v>
      </c>
      <c r="F220" s="75" t="str">
        <f>+'Pricing Turkey'!F202</f>
        <v>STEEL</v>
      </c>
      <c r="G220" s="123">
        <f>'Pricing Turkey'!G202*G$7</f>
        <v>67375</v>
      </c>
      <c r="H220" s="123">
        <f t="shared" si="53"/>
        <v>13643.4375</v>
      </c>
      <c r="I220" s="147">
        <f t="shared" si="52"/>
        <v>7121.5374999999995</v>
      </c>
      <c r="J220" s="123">
        <f t="shared" si="54"/>
        <v>12738.647395833334</v>
      </c>
      <c r="K220" s="123">
        <f t="shared" si="55"/>
        <v>4716.25</v>
      </c>
      <c r="L220" s="123">
        <f t="shared" si="56"/>
        <v>16843.75</v>
      </c>
      <c r="M220" s="132">
        <f t="shared" si="57"/>
        <v>107647.42369791667</v>
      </c>
      <c r="N220" s="132">
        <f t="shared" si="58"/>
        <v>111016.17369791667</v>
      </c>
      <c r="O220" s="132">
        <f t="shared" si="59"/>
        <v>122438.62239583333</v>
      </c>
    </row>
    <row r="221" spans="1:15" x14ac:dyDescent="0.25">
      <c r="A221" s="1" t="str">
        <f>+'Pricing Turkey'!A203</f>
        <v>STR7-2</v>
      </c>
      <c r="B221" s="75" t="str">
        <f>+'Pricing Turkey'!B203</f>
        <v>SET STRUCTURE 1400 X 1400 8 ETAGES EP 4MM</v>
      </c>
      <c r="C221" s="75" t="str">
        <f>+'Pricing Turkey'!C203</f>
        <v>STRUCTURE</v>
      </c>
      <c r="D221" s="75" t="str">
        <f>+'Pricing Turkey'!D203</f>
        <v>SET</v>
      </c>
      <c r="E221" s="75">
        <f>+'Pricing Turkey'!E203</f>
        <v>0</v>
      </c>
      <c r="F221" s="75" t="str">
        <f>+'Pricing Turkey'!F203</f>
        <v>STEEL</v>
      </c>
      <c r="G221" s="123">
        <f>'Pricing Turkey'!G203*G$7</f>
        <v>67375</v>
      </c>
      <c r="H221" s="123">
        <f t="shared" si="53"/>
        <v>13643.4375</v>
      </c>
      <c r="I221" s="147">
        <f t="shared" si="52"/>
        <v>7121.5374999999995</v>
      </c>
      <c r="J221" s="123">
        <f t="shared" si="54"/>
        <v>12738.647395833334</v>
      </c>
      <c r="K221" s="123">
        <f t="shared" si="55"/>
        <v>4716.25</v>
      </c>
      <c r="L221" s="123">
        <f t="shared" si="56"/>
        <v>16843.75</v>
      </c>
      <c r="M221" s="132">
        <f t="shared" si="57"/>
        <v>107647.42369791667</v>
      </c>
      <c r="N221" s="132">
        <f t="shared" si="58"/>
        <v>111016.17369791667</v>
      </c>
      <c r="O221" s="132">
        <f t="shared" si="59"/>
        <v>122438.62239583333</v>
      </c>
    </row>
    <row r="222" spans="1:15" x14ac:dyDescent="0.25">
      <c r="A222" s="1" t="str">
        <f>+'Pricing Turkey'!A204</f>
        <v>STR7-3</v>
      </c>
      <c r="B222" s="75" t="str">
        <f>+'Pricing Turkey'!B204</f>
        <v>SET STRUCTURE 1500 X 1500 8 ETAGES EP 4MM</v>
      </c>
      <c r="C222" s="75" t="str">
        <f>+'Pricing Turkey'!C204</f>
        <v>STRUCTURE</v>
      </c>
      <c r="D222" s="75" t="str">
        <f>+'Pricing Turkey'!D204</f>
        <v>SET</v>
      </c>
      <c r="E222" s="75">
        <f>+'Pricing Turkey'!E204</f>
        <v>0</v>
      </c>
      <c r="F222" s="75" t="str">
        <f>+'Pricing Turkey'!F204</f>
        <v>STEEL</v>
      </c>
      <c r="G222" s="123">
        <f>'Pricing Turkey'!G204*G$7</f>
        <v>67375</v>
      </c>
      <c r="H222" s="123">
        <f t="shared" si="53"/>
        <v>13643.4375</v>
      </c>
      <c r="I222" s="147">
        <f t="shared" si="52"/>
        <v>7121.5374999999995</v>
      </c>
      <c r="J222" s="123">
        <f t="shared" si="54"/>
        <v>12738.647395833334</v>
      </c>
      <c r="K222" s="123">
        <f t="shared" si="55"/>
        <v>4716.25</v>
      </c>
      <c r="L222" s="123">
        <f t="shared" si="56"/>
        <v>16843.75</v>
      </c>
      <c r="M222" s="132">
        <f t="shared" si="57"/>
        <v>107647.42369791667</v>
      </c>
      <c r="N222" s="132">
        <f t="shared" si="58"/>
        <v>111016.17369791667</v>
      </c>
      <c r="O222" s="132">
        <f t="shared" si="59"/>
        <v>122438.62239583333</v>
      </c>
    </row>
    <row r="223" spans="1:15" x14ac:dyDescent="0.25">
      <c r="A223" s="1" t="str">
        <f>+'Pricing Turkey'!A205</f>
        <v>STR7-4</v>
      </c>
      <c r="B223" s="75" t="str">
        <f>+'Pricing Turkey'!B205</f>
        <v>SET STRUCTURE 1600 X 1600 8 ETAGES EP 4MM</v>
      </c>
      <c r="C223" s="75" t="str">
        <f>+'Pricing Turkey'!C205</f>
        <v>STRUCTURE</v>
      </c>
      <c r="D223" s="75" t="str">
        <f>+'Pricing Turkey'!D205</f>
        <v>SET</v>
      </c>
      <c r="E223" s="75">
        <f>+'Pricing Turkey'!E205</f>
        <v>0</v>
      </c>
      <c r="F223" s="75" t="str">
        <f>+'Pricing Turkey'!F205</f>
        <v>STEEL</v>
      </c>
      <c r="G223" s="123">
        <f>'Pricing Turkey'!G205*G$7</f>
        <v>67375</v>
      </c>
      <c r="H223" s="123">
        <f t="shared" si="53"/>
        <v>13643.4375</v>
      </c>
      <c r="I223" s="147">
        <f t="shared" si="52"/>
        <v>7121.5374999999995</v>
      </c>
      <c r="J223" s="123">
        <f t="shared" si="54"/>
        <v>12738.647395833334</v>
      </c>
      <c r="K223" s="123">
        <f t="shared" si="55"/>
        <v>4716.25</v>
      </c>
      <c r="L223" s="123">
        <f t="shared" si="56"/>
        <v>16843.75</v>
      </c>
      <c r="M223" s="132">
        <f t="shared" si="57"/>
        <v>107647.42369791667</v>
      </c>
      <c r="N223" s="132">
        <f t="shared" si="58"/>
        <v>111016.17369791667</v>
      </c>
      <c r="O223" s="132">
        <f t="shared" si="59"/>
        <v>122438.62239583333</v>
      </c>
    </row>
    <row r="224" spans="1:15" ht="30" x14ac:dyDescent="0.25">
      <c r="A224" s="1" t="str">
        <f>+'Pricing Turkey'!A206</f>
        <v>HAB1</v>
      </c>
      <c r="B224" s="75" t="str">
        <f>+'Pricing Turkey'!B206</f>
        <v>PANORAMIQUE SET STRUCTURE VERRE TREMPE 8MM BLANC</v>
      </c>
      <c r="C224" s="75" t="str">
        <f>+'Pricing Turkey'!C206</f>
        <v>STRUCTURE</v>
      </c>
      <c r="D224" s="75" t="str">
        <f>+'Pricing Turkey'!D206</f>
        <v>M²</v>
      </c>
      <c r="E224" s="75">
        <f>+'Pricing Turkey'!E206</f>
        <v>0</v>
      </c>
      <c r="F224" s="75" t="str">
        <f>+'Pricing Turkey'!F206</f>
        <v>VERRE</v>
      </c>
      <c r="G224" s="123">
        <f>'Pricing Turkey'!G206*G$7</f>
        <v>607.6</v>
      </c>
      <c r="H224" s="123">
        <f t="shared" si="53"/>
        <v>123.03900000000002</v>
      </c>
      <c r="I224" s="147">
        <f t="shared" si="52"/>
        <v>64.223320000000001</v>
      </c>
      <c r="J224" s="123">
        <f t="shared" si="54"/>
        <v>110.82265110933334</v>
      </c>
      <c r="K224" s="123">
        <f t="shared" si="55"/>
        <v>42.532000000000004</v>
      </c>
      <c r="L224" s="123">
        <f t="shared" si="56"/>
        <v>151.9</v>
      </c>
      <c r="M224" s="132">
        <f t="shared" si="57"/>
        <v>968.75564555466667</v>
      </c>
      <c r="N224" s="132">
        <f t="shared" si="58"/>
        <v>999.13564555466667</v>
      </c>
      <c r="O224" s="132">
        <f t="shared" si="59"/>
        <v>1100.1169711093335</v>
      </c>
    </row>
    <row r="225" spans="1:15" ht="30" x14ac:dyDescent="0.25">
      <c r="A225" s="1" t="str">
        <f>+'Pricing Turkey'!A207</f>
        <v>HAB2</v>
      </c>
      <c r="B225" s="75" t="str">
        <f>+'Pricing Turkey'!B207</f>
        <v>PANORAMIQUE SET STRUCTURE VERRE TREMPE 8MM FUME</v>
      </c>
      <c r="C225" s="75" t="str">
        <f>+'Pricing Turkey'!C207</f>
        <v>STRUCTURE</v>
      </c>
      <c r="D225" s="75" t="str">
        <f>+'Pricing Turkey'!D207</f>
        <v>M²</v>
      </c>
      <c r="E225" s="75">
        <f>+'Pricing Turkey'!E207</f>
        <v>0</v>
      </c>
      <c r="F225" s="75" t="str">
        <f>+'Pricing Turkey'!F207</f>
        <v>VERRE</v>
      </c>
      <c r="G225" s="123">
        <f>'Pricing Turkey'!G207*G$7</f>
        <v>656.6</v>
      </c>
      <c r="H225" s="123">
        <f t="shared" si="53"/>
        <v>132.9615</v>
      </c>
      <c r="I225" s="147">
        <f t="shared" si="52"/>
        <v>69.402619999999999</v>
      </c>
      <c r="J225" s="123">
        <f t="shared" si="54"/>
        <v>119.76317902266666</v>
      </c>
      <c r="K225" s="123">
        <f t="shared" si="55"/>
        <v>45.962000000000003</v>
      </c>
      <c r="L225" s="123">
        <f t="shared" si="56"/>
        <v>164.15</v>
      </c>
      <c r="M225" s="132">
        <f t="shared" si="57"/>
        <v>1046.8827095113334</v>
      </c>
      <c r="N225" s="132">
        <f t="shared" si="58"/>
        <v>1079.7127095113333</v>
      </c>
      <c r="O225" s="132">
        <f t="shared" si="59"/>
        <v>1188.8392990226666</v>
      </c>
    </row>
    <row r="226" spans="1:15" x14ac:dyDescent="0.25">
      <c r="A226" s="1" t="str">
        <f>+'Pricing Turkey'!A208</f>
        <v>HAB3</v>
      </c>
      <c r="B226" s="75" t="str">
        <f>+'Pricing Turkey'!B208</f>
        <v>HABILLAGE OPAQUE EN ALUCOBOND</v>
      </c>
      <c r="C226" s="75" t="str">
        <f>+'Pricing Turkey'!C208</f>
        <v>STRUCTURE</v>
      </c>
      <c r="D226" s="75" t="str">
        <f>+'Pricing Turkey'!D208</f>
        <v>M²</v>
      </c>
      <c r="E226" s="75">
        <f>+'Pricing Turkey'!E208</f>
        <v>0</v>
      </c>
      <c r="F226" s="75" t="str">
        <f>+'Pricing Turkey'!F208</f>
        <v>ALU</v>
      </c>
      <c r="G226" s="123">
        <f>'Pricing Turkey'!G208*G$7</f>
        <v>147</v>
      </c>
      <c r="H226" s="123">
        <f t="shared" si="53"/>
        <v>29.767500000000002</v>
      </c>
      <c r="I226" s="147">
        <f t="shared" si="52"/>
        <v>15.537899999999999</v>
      </c>
      <c r="J226" s="123">
        <f t="shared" si="54"/>
        <v>26.805160900000004</v>
      </c>
      <c r="K226" s="123">
        <f t="shared" si="55"/>
        <v>10.290000000000001</v>
      </c>
      <c r="L226" s="123">
        <f t="shared" si="56"/>
        <v>36.75</v>
      </c>
      <c r="M226" s="132">
        <f t="shared" si="57"/>
        <v>234.37298045000003</v>
      </c>
      <c r="N226" s="132">
        <f t="shared" si="58"/>
        <v>241.72298045000002</v>
      </c>
      <c r="O226" s="132">
        <f t="shared" si="59"/>
        <v>266.15056090000002</v>
      </c>
    </row>
    <row r="227" spans="1:15" x14ac:dyDescent="0.25">
      <c r="A227" s="1" t="str">
        <f>+'Pricing Turkey'!A209</f>
        <v>IT.143</v>
      </c>
      <c r="B227" s="75" t="str">
        <f>+'Pricing Turkey'!B209</f>
        <v>BOUTON DE CABINE TACTILE</v>
      </c>
      <c r="C227" s="75" t="str">
        <f>+'Pricing Turkey'!C209</f>
        <v>BOUTONS</v>
      </c>
      <c r="D227" s="75" t="str">
        <f>+'Pricing Turkey'!D209</f>
        <v>Pc</v>
      </c>
      <c r="E227" s="75">
        <f>+'Pricing Turkey'!E209</f>
        <v>0</v>
      </c>
      <c r="F227" s="75" t="str">
        <f>+'Pricing Turkey'!F209</f>
        <v>INOX</v>
      </c>
      <c r="G227" s="123">
        <f>'Pricing Turkey'!G209*G$7</f>
        <v>2548</v>
      </c>
      <c r="H227" s="123">
        <f t="shared" si="53"/>
        <v>515.97</v>
      </c>
      <c r="I227" s="147">
        <f t="shared" si="52"/>
        <v>269.32359999999994</v>
      </c>
      <c r="J227" s="123">
        <f t="shared" si="54"/>
        <v>465.23456373333335</v>
      </c>
      <c r="K227" s="123">
        <f t="shared" si="55"/>
        <v>178.36</v>
      </c>
      <c r="L227" s="123">
        <f t="shared" si="56"/>
        <v>637</v>
      </c>
      <c r="M227" s="132">
        <f t="shared" si="57"/>
        <v>4062.770881866667</v>
      </c>
      <c r="N227" s="132">
        <f t="shared" si="58"/>
        <v>4190.1708818666666</v>
      </c>
      <c r="O227" s="132">
        <f t="shared" si="59"/>
        <v>4613.8881637333334</v>
      </c>
    </row>
    <row r="228" spans="1:15" x14ac:dyDescent="0.25">
      <c r="A228" s="1" t="str">
        <f>+'Pricing Turkey'!A210</f>
        <v>IT.144</v>
      </c>
      <c r="B228" s="75" t="str">
        <f>+'Pricing Turkey'!B210</f>
        <v>BOUTON PALIERE TACTILE</v>
      </c>
      <c r="C228" s="75" t="str">
        <f>+'Pricing Turkey'!C210</f>
        <v>BOUTONS</v>
      </c>
      <c r="D228" s="75" t="str">
        <f>+'Pricing Turkey'!D210</f>
        <v>Pc</v>
      </c>
      <c r="E228" s="75">
        <f>+'Pricing Turkey'!E210</f>
        <v>0</v>
      </c>
      <c r="F228" s="75" t="str">
        <f>+'Pricing Turkey'!F210</f>
        <v>INOX</v>
      </c>
      <c r="G228" s="123">
        <f>'Pricing Turkey'!G210*G$7</f>
        <v>176.4</v>
      </c>
      <c r="H228" s="123">
        <f t="shared" si="53"/>
        <v>35.721000000000004</v>
      </c>
      <c r="I228" s="147">
        <f t="shared" si="52"/>
        <v>18.645479999999999</v>
      </c>
      <c r="J228" s="123">
        <f t="shared" si="54"/>
        <v>32.166711696</v>
      </c>
      <c r="K228" s="123">
        <f t="shared" si="55"/>
        <v>12.348000000000001</v>
      </c>
      <c r="L228" s="123">
        <f t="shared" si="56"/>
        <v>44.1</v>
      </c>
      <c r="M228" s="132">
        <f t="shared" si="57"/>
        <v>281.24783584800002</v>
      </c>
      <c r="N228" s="132">
        <f t="shared" si="58"/>
        <v>290.06783584800002</v>
      </c>
      <c r="O228" s="132">
        <f t="shared" si="59"/>
        <v>319.38119169599997</v>
      </c>
    </row>
    <row r="229" spans="1:15" x14ac:dyDescent="0.25">
      <c r="A229" s="1" t="str">
        <f>+'Pricing Turkey'!A211</f>
        <v>IT.145</v>
      </c>
      <c r="B229" s="75" t="str">
        <f>+'Pricing Turkey'!B211</f>
        <v xml:space="preserve">PORTE CABINE BUS </v>
      </c>
      <c r="C229" s="75" t="str">
        <f>+'Pricing Turkey'!C211</f>
        <v>PORTE</v>
      </c>
      <c r="D229" s="75" t="str">
        <f>+'Pricing Turkey'!D211</f>
        <v>Pc</v>
      </c>
      <c r="E229" s="75">
        <f>+'Pricing Turkey'!E211</f>
        <v>0</v>
      </c>
      <c r="F229" s="75" t="str">
        <f>+'Pricing Turkey'!F211</f>
        <v>INOX</v>
      </c>
      <c r="G229" s="123">
        <f>'Pricing Turkey'!G211*G$7</f>
        <v>0</v>
      </c>
      <c r="H229" s="123">
        <f t="shared" si="53"/>
        <v>0</v>
      </c>
      <c r="I229" s="147">
        <f t="shared" si="52"/>
        <v>0</v>
      </c>
      <c r="J229" s="123">
        <f t="shared" si="54"/>
        <v>0</v>
      </c>
      <c r="K229" s="123">
        <f t="shared" si="55"/>
        <v>0</v>
      </c>
      <c r="L229" s="123">
        <f t="shared" si="56"/>
        <v>0</v>
      </c>
      <c r="M229" s="132">
        <f t="shared" si="57"/>
        <v>0</v>
      </c>
      <c r="N229" s="132">
        <f t="shared" si="58"/>
        <v>0</v>
      </c>
      <c r="O229" s="132">
        <f t="shared" si="59"/>
        <v>0</v>
      </c>
    </row>
    <row r="230" spans="1:15" x14ac:dyDescent="0.25">
      <c r="A230" s="1" t="str">
        <f>+'Pricing Turkey'!A212</f>
        <v>IT.146</v>
      </c>
      <c r="B230" s="75" t="str">
        <f>+'Pricing Turkey'!B212</f>
        <v xml:space="preserve">LEAR POMPE </v>
      </c>
      <c r="C230" s="75" t="str">
        <f>+'Pricing Turkey'!C212</f>
        <v>PORTE</v>
      </c>
      <c r="D230" s="75" t="str">
        <f>+'Pricing Turkey'!D212</f>
        <v>Pc</v>
      </c>
      <c r="E230" s="75">
        <f>+'Pricing Turkey'!E212</f>
        <v>0</v>
      </c>
      <c r="F230" s="75" t="str">
        <f>+'Pricing Turkey'!F212</f>
        <v>INOX</v>
      </c>
      <c r="G230" s="123">
        <f>'Pricing Turkey'!G212*G$7</f>
        <v>0</v>
      </c>
      <c r="H230" s="123">
        <f t="shared" si="53"/>
        <v>0</v>
      </c>
      <c r="I230" s="147">
        <f t="shared" si="52"/>
        <v>0</v>
      </c>
      <c r="J230" s="123">
        <f t="shared" si="54"/>
        <v>0</v>
      </c>
      <c r="K230" s="123">
        <f t="shared" si="55"/>
        <v>0</v>
      </c>
      <c r="L230" s="123">
        <f t="shared" si="56"/>
        <v>0</v>
      </c>
      <c r="M230" s="132">
        <f t="shared" si="57"/>
        <v>0</v>
      </c>
      <c r="N230" s="132">
        <f t="shared" si="58"/>
        <v>0</v>
      </c>
      <c r="O230" s="132">
        <f t="shared" si="59"/>
        <v>0</v>
      </c>
    </row>
    <row r="231" spans="1:15" x14ac:dyDescent="0.25">
      <c r="A231" s="1">
        <f>+'Pricing Turkey'!A213</f>
        <v>0</v>
      </c>
      <c r="B231" s="75">
        <f>+'Pricing Turkey'!B213</f>
        <v>0</v>
      </c>
      <c r="C231" s="75">
        <f>+'Pricing Turkey'!C213</f>
        <v>0</v>
      </c>
      <c r="D231" s="75">
        <f>+'Pricing Turkey'!D213</f>
        <v>0</v>
      </c>
      <c r="E231" s="75">
        <f>+'Pricing Turkey'!E213</f>
        <v>0</v>
      </c>
      <c r="F231" s="75">
        <f>+'Pricing Turkey'!F213</f>
        <v>0</v>
      </c>
      <c r="G231" s="123">
        <f>'Pricing Turkey'!G213*G$7</f>
        <v>0</v>
      </c>
      <c r="H231" s="123">
        <f t="shared" si="53"/>
        <v>0</v>
      </c>
      <c r="I231" s="147">
        <f t="shared" si="52"/>
        <v>0</v>
      </c>
      <c r="J231" s="123">
        <f t="shared" si="54"/>
        <v>0</v>
      </c>
      <c r="K231" s="123">
        <f t="shared" si="55"/>
        <v>0</v>
      </c>
      <c r="L231" s="123">
        <f t="shared" si="56"/>
        <v>0</v>
      </c>
      <c r="M231" s="132">
        <f t="shared" si="57"/>
        <v>0</v>
      </c>
      <c r="N231" s="132">
        <f t="shared" si="58"/>
        <v>0</v>
      </c>
      <c r="O231" s="132">
        <f t="shared" si="59"/>
        <v>0</v>
      </c>
    </row>
    <row r="232" spans="1:15" x14ac:dyDescent="0.25">
      <c r="A232" s="1">
        <f>+'Pricing Turkey'!A214</f>
        <v>0</v>
      </c>
      <c r="B232" s="75">
        <f>+'Pricing Turkey'!B214</f>
        <v>0</v>
      </c>
      <c r="C232" s="75">
        <f>+'Pricing Turkey'!C214</f>
        <v>0</v>
      </c>
      <c r="D232" s="75">
        <f>+'Pricing Turkey'!D214</f>
        <v>0</v>
      </c>
      <c r="E232" s="75">
        <f>+'Pricing Turkey'!E214</f>
        <v>0</v>
      </c>
      <c r="F232" s="75">
        <f>+'Pricing Turkey'!F214</f>
        <v>0</v>
      </c>
      <c r="G232" s="123">
        <f>'Pricing Turkey'!G214*G$7</f>
        <v>0</v>
      </c>
      <c r="H232" s="123">
        <f t="shared" si="53"/>
        <v>0</v>
      </c>
      <c r="I232" s="147">
        <f t="shared" si="52"/>
        <v>0</v>
      </c>
      <c r="J232" s="123">
        <f t="shared" si="54"/>
        <v>0</v>
      </c>
      <c r="K232" s="123">
        <f t="shared" si="55"/>
        <v>0</v>
      </c>
      <c r="L232" s="123">
        <f t="shared" si="56"/>
        <v>0</v>
      </c>
      <c r="M232" s="132">
        <f t="shared" si="57"/>
        <v>0</v>
      </c>
      <c r="N232" s="132">
        <f t="shared" si="58"/>
        <v>0</v>
      </c>
      <c r="O232" s="132">
        <f t="shared" si="59"/>
        <v>0</v>
      </c>
    </row>
    <row r="233" spans="1:15" x14ac:dyDescent="0.25">
      <c r="A233" s="1">
        <f>+'Pricing Turkey'!A215</f>
        <v>0</v>
      </c>
      <c r="B233" s="75">
        <f>+'Pricing Turkey'!B215</f>
        <v>0</v>
      </c>
      <c r="C233" s="75">
        <f>+'Pricing Turkey'!C215</f>
        <v>0</v>
      </c>
      <c r="D233" s="75">
        <f>+'Pricing Turkey'!D215</f>
        <v>0</v>
      </c>
      <c r="E233" s="75">
        <f>+'Pricing Turkey'!E215</f>
        <v>0</v>
      </c>
      <c r="F233" s="75">
        <f>+'Pricing Turkey'!F215</f>
        <v>0</v>
      </c>
      <c r="G233" s="123">
        <f>'Pricing Turkey'!G215*G$7</f>
        <v>0</v>
      </c>
      <c r="H233" s="123">
        <f t="shared" si="53"/>
        <v>0</v>
      </c>
      <c r="I233" s="147">
        <f t="shared" si="52"/>
        <v>0</v>
      </c>
      <c r="J233" s="123">
        <f t="shared" si="54"/>
        <v>0</v>
      </c>
      <c r="K233" s="123">
        <f t="shared" si="55"/>
        <v>0</v>
      </c>
      <c r="L233" s="123">
        <f t="shared" si="56"/>
        <v>0</v>
      </c>
      <c r="M233" s="132">
        <f t="shared" si="57"/>
        <v>0</v>
      </c>
      <c r="N233" s="132">
        <f t="shared" si="58"/>
        <v>0</v>
      </c>
      <c r="O233" s="132">
        <f t="shared" si="59"/>
        <v>0</v>
      </c>
    </row>
    <row r="234" spans="1:15" x14ac:dyDescent="0.25">
      <c r="A234" s="1">
        <f>+'Pricing Turkey'!A216</f>
        <v>0</v>
      </c>
      <c r="B234" s="75">
        <f>+'Pricing Turkey'!B216</f>
        <v>0</v>
      </c>
      <c r="C234" s="75">
        <f>+'Pricing Turkey'!C216</f>
        <v>0</v>
      </c>
      <c r="D234" s="75">
        <f>+'Pricing Turkey'!D216</f>
        <v>0</v>
      </c>
      <c r="E234" s="75">
        <f>+'Pricing Turkey'!E216</f>
        <v>0</v>
      </c>
      <c r="F234" s="75">
        <f>+'Pricing Turkey'!F216</f>
        <v>0</v>
      </c>
      <c r="G234" s="123">
        <f>'Pricing Turkey'!G216*G$7</f>
        <v>0</v>
      </c>
      <c r="H234" s="123">
        <f t="shared" si="53"/>
        <v>0</v>
      </c>
      <c r="I234" s="147">
        <f t="shared" si="52"/>
        <v>0</v>
      </c>
      <c r="J234" s="123">
        <f t="shared" si="54"/>
        <v>0</v>
      </c>
      <c r="K234" s="123">
        <f t="shared" si="55"/>
        <v>0</v>
      </c>
      <c r="L234" s="123">
        <f t="shared" si="56"/>
        <v>0</v>
      </c>
      <c r="M234" s="132">
        <f t="shared" si="57"/>
        <v>0</v>
      </c>
      <c r="N234" s="132">
        <f t="shared" si="58"/>
        <v>0</v>
      </c>
      <c r="O234" s="132">
        <f t="shared" si="59"/>
        <v>0</v>
      </c>
    </row>
    <row r="235" spans="1:15" x14ac:dyDescent="0.25">
      <c r="A235" s="1">
        <f>+'Pricing Turkey'!A217</f>
        <v>0</v>
      </c>
      <c r="B235" s="75">
        <f>+'Pricing Turkey'!B217</f>
        <v>0</v>
      </c>
      <c r="C235" s="75">
        <f>+'Pricing Turkey'!C217</f>
        <v>0</v>
      </c>
      <c r="D235" s="75">
        <f>+'Pricing Turkey'!D217</f>
        <v>0</v>
      </c>
      <c r="E235" s="75">
        <f>+'Pricing Turkey'!E217</f>
        <v>0</v>
      </c>
      <c r="F235" s="75">
        <f>+'Pricing Turkey'!F217</f>
        <v>0</v>
      </c>
      <c r="G235" s="123">
        <f>'Pricing Turkey'!G217*G$7</f>
        <v>0</v>
      </c>
      <c r="H235" s="123">
        <f t="shared" si="53"/>
        <v>0</v>
      </c>
      <c r="I235" s="147">
        <f t="shared" si="52"/>
        <v>0</v>
      </c>
      <c r="J235" s="123">
        <f t="shared" si="54"/>
        <v>0</v>
      </c>
      <c r="K235" s="123">
        <f t="shared" si="55"/>
        <v>0</v>
      </c>
      <c r="L235" s="123">
        <f t="shared" si="56"/>
        <v>0</v>
      </c>
      <c r="M235" s="132">
        <f t="shared" si="57"/>
        <v>0</v>
      </c>
      <c r="N235" s="132">
        <f t="shared" si="58"/>
        <v>0</v>
      </c>
      <c r="O235" s="132">
        <f t="shared" si="59"/>
        <v>0</v>
      </c>
    </row>
    <row r="236" spans="1:15" x14ac:dyDescent="0.25">
      <c r="A236" s="1">
        <f>+'Pricing Turkey'!A218</f>
        <v>0</v>
      </c>
      <c r="B236" s="75">
        <f>+'Pricing Turkey'!B218</f>
        <v>0</v>
      </c>
      <c r="C236" s="75">
        <f>+'Pricing Turkey'!C218</f>
        <v>0</v>
      </c>
      <c r="D236" s="75">
        <f>+'Pricing Turkey'!D218</f>
        <v>0</v>
      </c>
      <c r="E236" s="75">
        <f>+'Pricing Turkey'!E218</f>
        <v>0</v>
      </c>
      <c r="F236" s="75">
        <f>+'Pricing Turkey'!F218</f>
        <v>0</v>
      </c>
      <c r="G236" s="123">
        <f>'Pricing Turkey'!G218*G$7</f>
        <v>0</v>
      </c>
      <c r="H236" s="123">
        <f t="shared" si="53"/>
        <v>0</v>
      </c>
      <c r="I236" s="147">
        <f t="shared" si="52"/>
        <v>0</v>
      </c>
      <c r="J236" s="123">
        <f t="shared" si="54"/>
        <v>0</v>
      </c>
      <c r="K236" s="123">
        <f t="shared" si="55"/>
        <v>0</v>
      </c>
      <c r="L236" s="123">
        <f t="shared" si="56"/>
        <v>0</v>
      </c>
      <c r="M236" s="132">
        <f t="shared" si="57"/>
        <v>0</v>
      </c>
      <c r="N236" s="132">
        <f t="shared" si="58"/>
        <v>0</v>
      </c>
      <c r="O236" s="132">
        <f t="shared" si="59"/>
        <v>0</v>
      </c>
    </row>
    <row r="237" spans="1:15" x14ac:dyDescent="0.25">
      <c r="A237" s="1">
        <f>+'Pricing Turkey'!A219</f>
        <v>0</v>
      </c>
      <c r="B237" s="75">
        <f>+'Pricing Turkey'!B219</f>
        <v>0</v>
      </c>
      <c r="C237" s="75">
        <f>+'Pricing Turkey'!C219</f>
        <v>0</v>
      </c>
      <c r="D237" s="75">
        <f>+'Pricing Turkey'!D219</f>
        <v>0</v>
      </c>
      <c r="E237" s="75">
        <f>+'Pricing Turkey'!E219</f>
        <v>0</v>
      </c>
      <c r="F237" s="75">
        <f>+'Pricing Turkey'!F219</f>
        <v>0</v>
      </c>
      <c r="G237" s="123">
        <f>'Pricing Turkey'!G219*G$7</f>
        <v>0</v>
      </c>
      <c r="H237" s="123">
        <f t="shared" si="53"/>
        <v>0</v>
      </c>
      <c r="I237" s="147">
        <f t="shared" si="52"/>
        <v>0</v>
      </c>
      <c r="J237" s="123">
        <f t="shared" si="54"/>
        <v>0</v>
      </c>
      <c r="K237" s="123">
        <f t="shared" si="55"/>
        <v>0</v>
      </c>
      <c r="L237" s="123">
        <f t="shared" si="56"/>
        <v>0</v>
      </c>
      <c r="M237" s="132">
        <f t="shared" si="57"/>
        <v>0</v>
      </c>
      <c r="N237" s="132">
        <f t="shared" si="58"/>
        <v>0</v>
      </c>
      <c r="O237" s="132">
        <f t="shared" si="59"/>
        <v>0</v>
      </c>
    </row>
    <row r="238" spans="1:15" x14ac:dyDescent="0.25">
      <c r="A238" s="1">
        <f>+'Pricing Turkey'!A220</f>
        <v>0</v>
      </c>
      <c r="B238" s="75">
        <f>+'Pricing Turkey'!B220</f>
        <v>0</v>
      </c>
      <c r="C238" s="75">
        <f>+'Pricing Turkey'!C220</f>
        <v>0</v>
      </c>
      <c r="D238" s="75">
        <f>+'Pricing Turkey'!D220</f>
        <v>0</v>
      </c>
      <c r="E238" s="75">
        <f>+'Pricing Turkey'!E220</f>
        <v>0</v>
      </c>
      <c r="F238" s="75">
        <f>+'Pricing Turkey'!F220</f>
        <v>0</v>
      </c>
      <c r="G238" s="123">
        <f>'Pricing Turkey'!G220*G$7</f>
        <v>0</v>
      </c>
      <c r="H238" s="123">
        <f t="shared" si="53"/>
        <v>0</v>
      </c>
      <c r="I238" s="147">
        <f t="shared" si="52"/>
        <v>0</v>
      </c>
      <c r="J238" s="123">
        <f t="shared" si="54"/>
        <v>0</v>
      </c>
      <c r="K238" s="123">
        <f t="shared" si="55"/>
        <v>0</v>
      </c>
      <c r="L238" s="123">
        <f t="shared" si="56"/>
        <v>0</v>
      </c>
      <c r="M238" s="132">
        <f t="shared" si="57"/>
        <v>0</v>
      </c>
      <c r="N238" s="132">
        <f t="shared" si="58"/>
        <v>0</v>
      </c>
      <c r="O238" s="132">
        <f t="shared" si="59"/>
        <v>0</v>
      </c>
    </row>
    <row r="239" spans="1:15" x14ac:dyDescent="0.25">
      <c r="A239" s="1">
        <f>+'Pricing Turkey'!A221</f>
        <v>0</v>
      </c>
      <c r="B239" s="75">
        <f>+'Pricing Turkey'!B221</f>
        <v>0</v>
      </c>
      <c r="C239" s="75">
        <f>+'Pricing Turkey'!C221</f>
        <v>0</v>
      </c>
      <c r="D239" s="75">
        <f>+'Pricing Turkey'!D221</f>
        <v>0</v>
      </c>
      <c r="E239" s="75">
        <f>+'Pricing Turkey'!E221</f>
        <v>0</v>
      </c>
      <c r="F239" s="75">
        <f>+'Pricing Turkey'!F221</f>
        <v>0</v>
      </c>
      <c r="G239" s="123">
        <f>'Pricing Turkey'!G221*G$7</f>
        <v>0</v>
      </c>
      <c r="H239" s="123">
        <f t="shared" si="53"/>
        <v>0</v>
      </c>
      <c r="I239" s="147">
        <f t="shared" si="52"/>
        <v>0</v>
      </c>
      <c r="J239" s="123">
        <f t="shared" si="54"/>
        <v>0</v>
      </c>
      <c r="K239" s="123">
        <f t="shared" si="55"/>
        <v>0</v>
      </c>
      <c r="L239" s="123">
        <f t="shared" si="56"/>
        <v>0</v>
      </c>
      <c r="M239" s="132">
        <f t="shared" si="57"/>
        <v>0</v>
      </c>
      <c r="N239" s="132">
        <f t="shared" si="58"/>
        <v>0</v>
      </c>
      <c r="O239" s="132">
        <f t="shared" si="59"/>
        <v>0</v>
      </c>
    </row>
  </sheetData>
  <autoFilter ref="A20:AB200" xr:uid="{B272B63B-1500-4AA2-98AE-4AD5D558ADF8}"/>
  <conditionalFormatting sqref="U21:U128">
    <cfRule type="cellIs" dxfId="4" priority="1" operator="less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813A-79AE-42ED-B855-2AB95D7EE3EF}">
  <sheetPr codeName="Feuil7"/>
  <dimension ref="A1:AC300"/>
  <sheetViews>
    <sheetView tabSelected="1" view="pageBreakPreview" zoomScale="70" zoomScaleNormal="100" zoomScaleSheetLayoutView="70" workbookViewId="0">
      <pane xSplit="2" ySplit="10" topLeftCell="C178" activePane="bottomRight" state="frozen"/>
      <selection activeCell="J18" sqref="J18"/>
      <selection pane="topRight" activeCell="J18" sqref="J18"/>
      <selection pane="bottomLeft" activeCell="J18" sqref="J18"/>
      <selection pane="bottomRight" activeCell="G15" sqref="G15"/>
    </sheetView>
  </sheetViews>
  <sheetFormatPr baseColWidth="10" defaultColWidth="9.140625" defaultRowHeight="15" x14ac:dyDescent="0.25"/>
  <cols>
    <col min="1" max="1" width="4.28515625" style="24" customWidth="1"/>
    <col min="2" max="2" width="94.140625" style="24" customWidth="1"/>
    <col min="3" max="4" width="17.7109375" style="24" customWidth="1"/>
    <col min="5" max="5" width="15.5703125" style="24" customWidth="1"/>
    <col min="6" max="8" width="15.7109375" customWidth="1"/>
    <col min="9" max="9" width="21.7109375" customWidth="1"/>
    <col min="10" max="10" width="17.42578125" customWidth="1"/>
    <col min="11" max="11" width="17.5703125" customWidth="1"/>
    <col min="12" max="13" width="19" customWidth="1"/>
    <col min="14" max="14" width="19.28515625" customWidth="1"/>
    <col min="15" max="15" width="20" customWidth="1"/>
    <col min="16" max="17" width="20.140625" customWidth="1"/>
    <col min="18" max="18" width="24.42578125" customWidth="1"/>
    <col min="19" max="29" width="24.85546875" customWidth="1"/>
  </cols>
  <sheetData>
    <row r="1" spans="1:29" ht="15.75" thickBot="1" x14ac:dyDescent="0.3">
      <c r="D1"/>
      <c r="E1" t="s">
        <v>381</v>
      </c>
      <c r="F1" s="24" t="s">
        <v>359</v>
      </c>
      <c r="G1" s="24" t="s">
        <v>385</v>
      </c>
      <c r="H1" s="24" t="s">
        <v>387</v>
      </c>
      <c r="I1" s="24" t="s">
        <v>390</v>
      </c>
      <c r="J1" s="24" t="s">
        <v>396</v>
      </c>
      <c r="K1" s="24" t="s">
        <v>437</v>
      </c>
      <c r="L1" s="24" t="s">
        <v>397</v>
      </c>
      <c r="M1" s="24" t="s">
        <v>470</v>
      </c>
      <c r="N1" s="24" t="s">
        <v>391</v>
      </c>
    </row>
    <row r="2" spans="1:29" ht="24" thickBot="1" x14ac:dyDescent="0.4">
      <c r="B2" s="135" t="s">
        <v>328</v>
      </c>
      <c r="D2" s="152" t="s">
        <v>374</v>
      </c>
      <c r="E2" s="152"/>
      <c r="F2" s="153" t="s">
        <v>476</v>
      </c>
      <c r="G2" s="153">
        <v>8</v>
      </c>
      <c r="H2" s="153">
        <v>5</v>
      </c>
      <c r="I2" s="153" t="s">
        <v>467</v>
      </c>
      <c r="J2" s="153" t="s">
        <v>471</v>
      </c>
      <c r="K2" s="153" t="s">
        <v>472</v>
      </c>
      <c r="L2" s="153" t="s">
        <v>473</v>
      </c>
      <c r="M2" s="153">
        <v>70</v>
      </c>
      <c r="N2" s="156" t="str">
        <f>+IF(G2&lt;5,"MAX4",IF(G2&lt;7,"MAX6",IF(G2&lt;9,"MAX8","MAX10")))</f>
        <v>MAX8</v>
      </c>
      <c r="P2" s="136" t="s">
        <v>447</v>
      </c>
    </row>
    <row r="3" spans="1:29" ht="24" thickBot="1" x14ac:dyDescent="0.4">
      <c r="B3" s="135"/>
      <c r="C3" s="135"/>
      <c r="D3" s="152" t="s">
        <v>375</v>
      </c>
      <c r="E3" s="152"/>
      <c r="F3" s="153"/>
      <c r="G3" s="155"/>
      <c r="H3" s="155"/>
      <c r="I3" s="155"/>
      <c r="J3" s="155"/>
      <c r="K3" s="155"/>
      <c r="L3" s="155"/>
      <c r="M3" s="155"/>
      <c r="N3" s="155"/>
    </row>
    <row r="4" spans="1:29" ht="24" thickBot="1" x14ac:dyDescent="0.4">
      <c r="B4" s="135"/>
      <c r="C4" s="135"/>
      <c r="D4" s="152" t="s">
        <v>376</v>
      </c>
      <c r="E4" s="152"/>
      <c r="F4" s="153"/>
      <c r="G4" s="155"/>
      <c r="H4" s="155"/>
      <c r="I4" s="155"/>
      <c r="J4" s="155"/>
      <c r="K4" s="155"/>
      <c r="L4" s="155"/>
      <c r="M4" s="155"/>
      <c r="N4" s="155"/>
    </row>
    <row r="5" spans="1:29" x14ac:dyDescent="0.25">
      <c r="D5"/>
      <c r="E5"/>
      <c r="G5" t="s">
        <v>386</v>
      </c>
      <c r="I5" t="s">
        <v>388</v>
      </c>
    </row>
    <row r="10" spans="1:29" s="121" customFormat="1" ht="30" customHeight="1" x14ac:dyDescent="0.25">
      <c r="A10" s="121" t="s">
        <v>310</v>
      </c>
      <c r="B10" s="121" t="s">
        <v>317</v>
      </c>
      <c r="C10" s="121" t="s">
        <v>436</v>
      </c>
      <c r="D10" s="121" t="s">
        <v>365</v>
      </c>
      <c r="E10" s="121" t="s">
        <v>318</v>
      </c>
      <c r="F10" s="121" t="s">
        <v>373</v>
      </c>
      <c r="G10" s="121" t="s">
        <v>469</v>
      </c>
      <c r="H10" s="121" t="s">
        <v>327</v>
      </c>
      <c r="I10" s="121" t="s">
        <v>364</v>
      </c>
      <c r="S10" s="174" t="s">
        <v>438</v>
      </c>
      <c r="T10" s="174" t="s">
        <v>439</v>
      </c>
      <c r="U10" s="174" t="s">
        <v>440</v>
      </c>
      <c r="V10" s="174" t="s">
        <v>441</v>
      </c>
      <c r="W10" s="174" t="s">
        <v>442</v>
      </c>
      <c r="X10" s="174" t="s">
        <v>443</v>
      </c>
      <c r="Y10" s="174" t="s">
        <v>444</v>
      </c>
      <c r="Z10" s="174" t="s">
        <v>478</v>
      </c>
      <c r="AA10" s="174" t="s">
        <v>455</v>
      </c>
      <c r="AB10" s="174" t="s">
        <v>445</v>
      </c>
      <c r="AC10" s="174" t="s">
        <v>446</v>
      </c>
    </row>
    <row r="11" spans="1:29" s="120" customFormat="1" ht="39.75" customHeight="1" x14ac:dyDescent="0.25">
      <c r="A11" s="1" t="str">
        <f>+'Pricing sheet'!A21</f>
        <v>IT.1</v>
      </c>
      <c r="B11" s="75" t="str">
        <f>+'Pricing sheet'!B21</f>
        <v>SET CABINE STANDARD INOX 1200/1100 + ARCADES &amp; ACCESSOIRES GEARBOX</v>
      </c>
      <c r="C11" s="75" t="str">
        <f>+'Pricing sheet'!C21</f>
        <v>CABINE &amp; ARCADE</v>
      </c>
      <c r="D11" s="75" t="str">
        <f>+'Pricing sheet'!D21</f>
        <v>SET</v>
      </c>
      <c r="E11" s="75">
        <f>+'Pricing sheet'!E21</f>
        <v>650</v>
      </c>
      <c r="F11" s="126">
        <f>+'Pricing sheet'!M21</f>
        <v>25001.244500000001</v>
      </c>
      <c r="G11" s="126">
        <f>+'Pricing sheet'!N21</f>
        <v>25736.244500000001</v>
      </c>
      <c r="H11" s="126">
        <f>+'Pricing sheet'!O21</f>
        <v>28924.699000000001</v>
      </c>
      <c r="I11" s="177"/>
      <c r="J11" s="126"/>
      <c r="S11" s="175" t="str">
        <f>IF($C11=S$10,IF(AND(ISNUMBER(SEARCH($F$2,$B11)),ISNUMBER(SEARCH($N$2,$B11)),ISNUMBER(SEARCH($N$2,$B11))),1,""),"")</f>
        <v/>
      </c>
      <c r="T11" s="175" t="str">
        <f>IF($C11=T$10,IF(AND(ISNUMBER(SEARCH($F$2,$B11)),ISNUMBER(SEARCH($N$2,$B11)),ISNUMBER(SEARCH($I$2,$B11))),1,""),"")</f>
        <v/>
      </c>
      <c r="U11" s="175" t="str">
        <f>IF($C11=U$10,IF(AND(ISNUMBER(SEARCH($M$2,$B11)),ISNUMBER(SEARCH($L$2,$B11)),ISNUMBER(SEARCH($J$2,$B11)),ISNUMBER(SEARCH($K$2,$B11))),$H$2,""),"")</f>
        <v/>
      </c>
      <c r="V11" s="175" t="str">
        <f>IF($C11=V$10,IF(AND(ISNUMBER(SEARCH($M$2,$B11)),ISNUMBER(SEARCH($J$2,$B11))),1,""),"")</f>
        <v/>
      </c>
    </row>
    <row r="12" spans="1:29" s="120" customFormat="1" ht="21" customHeight="1" x14ac:dyDescent="0.25">
      <c r="A12" s="1" t="str">
        <f>+'Pricing sheet'!A22</f>
        <v>IT.1-1</v>
      </c>
      <c r="B12" s="75" t="str">
        <f>+'Pricing sheet'!B22</f>
        <v>CABINE INOX 1000/900 STANDARD</v>
      </c>
      <c r="C12" s="75" t="str">
        <f>+'Pricing sheet'!C22</f>
        <v>CABINE &amp; ARCADE</v>
      </c>
      <c r="D12" s="75" t="str">
        <f>+'Pricing sheet'!D22</f>
        <v>Pc</v>
      </c>
      <c r="E12" s="75">
        <f>+'Pricing sheet'!E22</f>
        <v>350</v>
      </c>
      <c r="F12" s="126">
        <f>+'Pricing sheet'!M22</f>
        <v>15332.112471666667</v>
      </c>
      <c r="G12" s="126">
        <f>+'Pricing sheet'!N22</f>
        <v>15797.612471666667</v>
      </c>
      <c r="H12" s="126">
        <f>+'Pricing sheet'!O22</f>
        <v>17814.457943333335</v>
      </c>
      <c r="I12" s="175"/>
      <c r="S12" s="175" t="str">
        <f t="shared" ref="S12:S76" si="0">IF($C12=S$10,IF(AND(ISNUMBER(SEARCH($F$2,$B12)),ISNUMBER(SEARCH($N$2,$B12)),ISNUMBER(SEARCH($N$2,$B12))),1,""),"")</f>
        <v/>
      </c>
      <c r="T12" s="175" t="str">
        <f t="shared" ref="T12:T75" si="1">IF($C12=T$10,IF(AND(ISNUMBER(SEARCH($F$2,$B12)),ISNUMBER(SEARCH($N$2,$B12)),ISNUMBER(SEARCH($I$2,$B12))),1,""),"")</f>
        <v/>
      </c>
      <c r="U12" s="175" t="str">
        <f t="shared" ref="U12:U75" si="2">IF($C12=U$10,IF(AND(ISNUMBER(SEARCH($M$2,$B12)),ISNUMBER(SEARCH($L$2,$B12)),ISNUMBER(SEARCH($J$2,$B12)),ISNUMBER(SEARCH($K$2,$B12))),$H$2,""),"")</f>
        <v/>
      </c>
      <c r="V12" s="175" t="str">
        <f t="shared" ref="V12:V75" si="3">IF($C12=V$10,IF(AND(ISNUMBER(SEARCH($M$2,$B12)),ISNUMBER(SEARCH($J$2,$B12))),1,""),"")</f>
        <v/>
      </c>
    </row>
    <row r="13" spans="1:29" s="154" customFormat="1" ht="21" customHeight="1" x14ac:dyDescent="0.25">
      <c r="A13" s="1" t="str">
        <f>+'Pricing sheet'!A23</f>
        <v>IT.1-2</v>
      </c>
      <c r="B13" s="75" t="str">
        <f>+'Pricing sheet'!B23</f>
        <v>CABINE INOX 1000/900 PERSONALISÉE</v>
      </c>
      <c r="C13" s="75" t="str">
        <f>+'Pricing sheet'!C23</f>
        <v>CABINE &amp; ARCADE</v>
      </c>
      <c r="D13" s="75" t="str">
        <f>+'Pricing sheet'!D23</f>
        <v>Pc</v>
      </c>
      <c r="E13" s="75">
        <f>+'Pricing sheet'!E23</f>
        <v>350</v>
      </c>
      <c r="F13" s="126">
        <f>+'Pricing sheet'!M23</f>
        <v>18622.266879999999</v>
      </c>
      <c r="G13" s="126">
        <f>+'Pricing sheet'!N23</f>
        <v>19210.266879999999</v>
      </c>
      <c r="H13" s="126">
        <f>+'Pricing sheet'!O23</f>
        <v>21759.301759999998</v>
      </c>
      <c r="I13" s="175"/>
      <c r="S13" s="175" t="str">
        <f t="shared" si="0"/>
        <v/>
      </c>
      <c r="T13" s="175" t="str">
        <f t="shared" si="1"/>
        <v/>
      </c>
      <c r="U13" s="175" t="str">
        <f t="shared" si="2"/>
        <v/>
      </c>
      <c r="V13" s="175" t="str">
        <f t="shared" si="3"/>
        <v/>
      </c>
    </row>
    <row r="14" spans="1:29" s="120" customFormat="1" ht="21" customHeight="1" x14ac:dyDescent="0.25">
      <c r="A14" s="1" t="str">
        <f>+'Pricing sheet'!A24</f>
        <v>IT.1-3</v>
      </c>
      <c r="B14" s="75" t="str">
        <f>+'Pricing sheet'!B24</f>
        <v>CABINE INOX 1100/1000 STANDARD</v>
      </c>
      <c r="C14" s="75" t="str">
        <f>+'Pricing sheet'!C24</f>
        <v>CABINE &amp; ARCADE</v>
      </c>
      <c r="D14" s="75" t="str">
        <f>+'Pricing sheet'!D24</f>
        <v>Pc</v>
      </c>
      <c r="E14" s="75">
        <f>+'Pricing sheet'!E24</f>
        <v>350</v>
      </c>
      <c r="F14" s="126">
        <f>+'Pricing sheet'!M24</f>
        <v>16253.295200799999</v>
      </c>
      <c r="G14" s="126">
        <f>+'Pricing sheet'!N24</f>
        <v>16753.095200799999</v>
      </c>
      <c r="H14" s="126">
        <f>+'Pricing sheet'!O24</f>
        <v>18918.8932016</v>
      </c>
      <c r="I14" s="175"/>
      <c r="S14" s="175" t="str">
        <f t="shared" si="0"/>
        <v/>
      </c>
      <c r="T14" s="175" t="str">
        <f t="shared" si="1"/>
        <v/>
      </c>
      <c r="U14" s="175" t="str">
        <f t="shared" si="2"/>
        <v/>
      </c>
      <c r="V14" s="175" t="str">
        <f t="shared" si="3"/>
        <v/>
      </c>
    </row>
    <row r="15" spans="1:29" s="120" customFormat="1" ht="21" customHeight="1" x14ac:dyDescent="0.25">
      <c r="A15" s="1" t="str">
        <f>+'Pricing sheet'!A25</f>
        <v>IT.1-4</v>
      </c>
      <c r="B15" s="75" t="str">
        <f>+'Pricing sheet'!B25</f>
        <v>CABINE INOX 1100/1000 PERSONALISÉE</v>
      </c>
      <c r="C15" s="75" t="str">
        <f>+'Pricing sheet'!C25</f>
        <v>CABINE &amp; ARCADE</v>
      </c>
      <c r="D15" s="75" t="str">
        <f>+'Pricing sheet'!D25</f>
        <v>Pc</v>
      </c>
      <c r="E15" s="75">
        <f>+'Pricing sheet'!E25</f>
        <v>350</v>
      </c>
      <c r="F15" s="126">
        <f>+'Pricing sheet'!M25</f>
        <v>20201.754204800003</v>
      </c>
      <c r="G15" s="126">
        <f>+'Pricing sheet'!N25</f>
        <v>20848.554204800002</v>
      </c>
      <c r="H15" s="126">
        <f>+'Pricing sheet'!O25</f>
        <v>23653.2532096</v>
      </c>
      <c r="I15" s="175"/>
      <c r="S15" s="175" t="str">
        <f t="shared" si="0"/>
        <v/>
      </c>
      <c r="T15" s="175" t="str">
        <f t="shared" si="1"/>
        <v/>
      </c>
      <c r="U15" s="175" t="str">
        <f t="shared" si="2"/>
        <v/>
      </c>
      <c r="V15" s="175" t="str">
        <f t="shared" si="3"/>
        <v/>
      </c>
    </row>
    <row r="16" spans="1:29" s="120" customFormat="1" ht="21" customHeight="1" x14ac:dyDescent="0.25">
      <c r="A16" s="1" t="str">
        <f>+'Pricing sheet'!A26</f>
        <v>IT.1-5</v>
      </c>
      <c r="B16" s="75" t="str">
        <f>+'Pricing sheet'!B26</f>
        <v>CABINE INOX 1200/1100 STANDARD</v>
      </c>
      <c r="C16" s="75" t="str">
        <f>+'Pricing sheet'!C26</f>
        <v>CABINE &amp; ARCADE</v>
      </c>
      <c r="D16" s="75" t="str">
        <f>+'Pricing sheet'!D26</f>
        <v>Pc</v>
      </c>
      <c r="E16" s="75">
        <f>+'Pricing sheet'!E26</f>
        <v>350</v>
      </c>
      <c r="F16" s="126">
        <f>+'Pricing sheet'!M26</f>
        <v>17174.524989533333</v>
      </c>
      <c r="G16" s="126">
        <f>+'Pricing sheet'!N26</f>
        <v>17708.624989533331</v>
      </c>
      <c r="H16" s="126">
        <f>+'Pricing sheet'!O26</f>
        <v>20023.422579066668</v>
      </c>
      <c r="I16" s="175"/>
      <c r="S16" s="175" t="str">
        <f t="shared" si="0"/>
        <v/>
      </c>
      <c r="T16" s="175" t="str">
        <f t="shared" si="1"/>
        <v/>
      </c>
      <c r="U16" s="175" t="str">
        <f t="shared" si="2"/>
        <v/>
      </c>
      <c r="V16" s="175" t="str">
        <f t="shared" si="3"/>
        <v/>
      </c>
    </row>
    <row r="17" spans="1:29" s="120" customFormat="1" ht="21" customHeight="1" x14ac:dyDescent="0.25">
      <c r="A17" s="1" t="str">
        <f>+'Pricing sheet'!A27</f>
        <v>IT.1-6</v>
      </c>
      <c r="B17" s="75" t="str">
        <f>+'Pricing sheet'!B27</f>
        <v>CABINE INOX 1200/1100 PERSONALISÉE</v>
      </c>
      <c r="C17" s="75" t="str">
        <f>+'Pricing sheet'!C27</f>
        <v>CABINE &amp; ARCADE</v>
      </c>
      <c r="D17" s="75" t="str">
        <f>+'Pricing sheet'!D27</f>
        <v>Pc</v>
      </c>
      <c r="E17" s="75">
        <f>+'Pricing sheet'!E27</f>
        <v>350</v>
      </c>
      <c r="F17" s="126">
        <f>+'Pricing sheet'!M27</f>
        <v>21123.185677533333</v>
      </c>
      <c r="G17" s="126">
        <f>+'Pricing sheet'!N27</f>
        <v>21804.285677533331</v>
      </c>
      <c r="H17" s="126">
        <f>+'Pricing sheet'!O27</f>
        <v>24758.18595506667</v>
      </c>
      <c r="I17" s="175"/>
      <c r="S17" s="175" t="str">
        <f t="shared" si="0"/>
        <v/>
      </c>
      <c r="T17" s="175" t="str">
        <f t="shared" si="1"/>
        <v/>
      </c>
      <c r="U17" s="175" t="str">
        <f t="shared" si="2"/>
        <v/>
      </c>
      <c r="V17" s="175" t="str">
        <f t="shared" si="3"/>
        <v/>
      </c>
    </row>
    <row r="18" spans="1:29" s="120" customFormat="1" ht="21" customHeight="1" x14ac:dyDescent="0.25">
      <c r="A18" s="1" t="str">
        <f>+'Pricing sheet'!A28</f>
        <v>IT.1-13</v>
      </c>
      <c r="B18" s="75" t="str">
        <f>+'Pricing sheet'!B28</f>
        <v>CABINE INOX 1400/1300 STANDARD</v>
      </c>
      <c r="C18" s="75" t="str">
        <f>+'Pricing sheet'!C28</f>
        <v>CABINE &amp; ARCADE</v>
      </c>
      <c r="D18" s="75" t="str">
        <f>+'Pricing sheet'!D28</f>
        <v>SET</v>
      </c>
      <c r="E18" s="75">
        <f>+'Pricing sheet'!E28</f>
        <v>350</v>
      </c>
      <c r="F18" s="126">
        <f>+'Pricing sheet'!M28</f>
        <v>20289.245537866675</v>
      </c>
      <c r="G18" s="126">
        <f>+'Pricing sheet'!N28</f>
        <v>20945.845537866673</v>
      </c>
      <c r="H18" s="126">
        <f>+'Pricing sheet'!O28</f>
        <v>23793.168675733337</v>
      </c>
      <c r="I18" s="175"/>
      <c r="S18" s="175" t="str">
        <f t="shared" si="0"/>
        <v/>
      </c>
      <c r="T18" s="175" t="str">
        <f t="shared" si="1"/>
        <v/>
      </c>
      <c r="U18" s="175" t="str">
        <f t="shared" si="2"/>
        <v/>
      </c>
      <c r="V18" s="175" t="str">
        <f t="shared" si="3"/>
        <v/>
      </c>
    </row>
    <row r="19" spans="1:29" s="120" customFormat="1" ht="21" customHeight="1" x14ac:dyDescent="0.25">
      <c r="A19" s="1" t="str">
        <f>+'Pricing sheet'!A29</f>
        <v>IT.1-14</v>
      </c>
      <c r="B19" s="75" t="str">
        <f>+'Pricing sheet'!B29</f>
        <v>CABINE INOX 1400/1300 PERSONALISÉE</v>
      </c>
      <c r="C19" s="75" t="str">
        <f>+'Pricing sheet'!C29</f>
        <v>CABINE &amp; ARCADE</v>
      </c>
      <c r="D19" s="75" t="str">
        <f>+'Pricing sheet'!D29</f>
        <v>SET</v>
      </c>
      <c r="E19" s="75">
        <f>+'Pricing sheet'!E29</f>
        <v>350</v>
      </c>
      <c r="F19" s="126">
        <f>+'Pricing sheet'!M29</f>
        <v>26349.078935200003</v>
      </c>
      <c r="G19" s="126">
        <f>+'Pricing sheet'!N29</f>
        <v>27201.678935200001</v>
      </c>
      <c r="H19" s="126">
        <f>+'Pricing sheet'!O29</f>
        <v>30902.2914704</v>
      </c>
      <c r="I19" s="175"/>
      <c r="S19" s="175" t="str">
        <f t="shared" si="0"/>
        <v/>
      </c>
      <c r="T19" s="175" t="str">
        <f t="shared" si="1"/>
        <v/>
      </c>
      <c r="U19" s="175" t="str">
        <f t="shared" si="2"/>
        <v/>
      </c>
      <c r="V19" s="175" t="str">
        <f t="shared" si="3"/>
        <v/>
      </c>
    </row>
    <row r="20" spans="1:29" s="120" customFormat="1" ht="21" customHeight="1" x14ac:dyDescent="0.25">
      <c r="A20" s="1" t="str">
        <f>+'Pricing sheet'!A30</f>
        <v>IT.1-17</v>
      </c>
      <c r="B20" s="75" t="str">
        <f>+'Pricing sheet'!B30</f>
        <v>CABINE  1000/900 PANORAMIQUE</v>
      </c>
      <c r="C20" s="75" t="str">
        <f>+'Pricing sheet'!C30</f>
        <v>CABINE &amp; ARCADE</v>
      </c>
      <c r="D20" s="75" t="str">
        <f>+'Pricing sheet'!D30</f>
        <v>Pc</v>
      </c>
      <c r="E20" s="75">
        <f>+'Pricing sheet'!E30</f>
        <v>350</v>
      </c>
      <c r="F20" s="126">
        <f>+'Pricing sheet'!M30</f>
        <v>24227.962453333337</v>
      </c>
      <c r="G20" s="126">
        <f>+'Pricing sheet'!N30</f>
        <v>25011.962453333337</v>
      </c>
      <c r="H20" s="126">
        <f>+'Pricing sheet'!O30</f>
        <v>28413.748906666668</v>
      </c>
      <c r="I20" s="175"/>
      <c r="S20" s="175" t="str">
        <f t="shared" si="0"/>
        <v/>
      </c>
      <c r="T20" s="175" t="str">
        <f t="shared" si="1"/>
        <v/>
      </c>
      <c r="U20" s="175" t="str">
        <f t="shared" si="2"/>
        <v/>
      </c>
      <c r="V20" s="175" t="str">
        <f t="shared" si="3"/>
        <v/>
      </c>
    </row>
    <row r="21" spans="1:29" s="120" customFormat="1" ht="21" customHeight="1" x14ac:dyDescent="0.25">
      <c r="A21" s="1" t="str">
        <f>+'Pricing sheet'!A31</f>
        <v>IT.1-18</v>
      </c>
      <c r="B21" s="75" t="str">
        <f>+'Pricing sheet'!B31</f>
        <v>CABINE  1100/1000 PANORAMIQUE</v>
      </c>
      <c r="C21" s="75" t="str">
        <f>+'Pricing sheet'!C31</f>
        <v>CABINE &amp; ARCADE</v>
      </c>
      <c r="D21" s="75" t="str">
        <f>+'Pricing sheet'!D31</f>
        <v>Pc</v>
      </c>
      <c r="E21" s="75">
        <f>+'Pricing sheet'!E31</f>
        <v>350</v>
      </c>
      <c r="F21" s="126">
        <f>+'Pricing sheet'!M31</f>
        <v>25743.026446666667</v>
      </c>
      <c r="G21" s="126">
        <f>+'Pricing sheet'!N31</f>
        <v>26576.026446666667</v>
      </c>
      <c r="H21" s="126">
        <f>+'Pricing sheet'!O31</f>
        <v>30191.240893333335</v>
      </c>
      <c r="I21" s="175"/>
      <c r="S21" s="175" t="str">
        <f t="shared" si="0"/>
        <v/>
      </c>
      <c r="T21" s="175" t="str">
        <f t="shared" si="1"/>
        <v/>
      </c>
      <c r="U21" s="175" t="str">
        <f t="shared" si="2"/>
        <v/>
      </c>
      <c r="V21" s="175" t="str">
        <f t="shared" si="3"/>
        <v/>
      </c>
    </row>
    <row r="22" spans="1:29" s="120" customFormat="1" ht="21" customHeight="1" x14ac:dyDescent="0.25">
      <c r="A22" s="1" t="str">
        <f>+'Pricing sheet'!A32</f>
        <v>IT.1-19</v>
      </c>
      <c r="B22" s="75" t="str">
        <f>+'Pricing sheet'!B32</f>
        <v>CABINE  1200/1100 PANORAMIQUE</v>
      </c>
      <c r="C22" s="75" t="str">
        <f>+'Pricing sheet'!C32</f>
        <v>CABINE &amp; ARCADE</v>
      </c>
      <c r="D22" s="75" t="str">
        <f>+'Pricing sheet'!D32</f>
        <v>Pc</v>
      </c>
      <c r="E22" s="75">
        <f>+'Pricing sheet'!E32</f>
        <v>350</v>
      </c>
      <c r="F22" s="126">
        <f>+'Pricing sheet'!M32</f>
        <v>28015.802511666665</v>
      </c>
      <c r="G22" s="126">
        <f>+'Pricing sheet'!N32</f>
        <v>28922.302511666665</v>
      </c>
      <c r="H22" s="126">
        <f>+'Pricing sheet'!O32</f>
        <v>32857.839023333334</v>
      </c>
      <c r="I22" s="175"/>
      <c r="S22" s="175" t="str">
        <f t="shared" si="0"/>
        <v/>
      </c>
      <c r="T22" s="175" t="str">
        <f t="shared" si="1"/>
        <v/>
      </c>
      <c r="U22" s="175" t="str">
        <f t="shared" si="2"/>
        <v/>
      </c>
      <c r="V22" s="175" t="str">
        <f t="shared" si="3"/>
        <v/>
      </c>
    </row>
    <row r="23" spans="1:29" s="120" customFormat="1" ht="21" customHeight="1" x14ac:dyDescent="0.25">
      <c r="A23" s="1" t="str">
        <f>+'Pricing sheet'!A33</f>
        <v>IT.1-20</v>
      </c>
      <c r="B23" s="75" t="str">
        <f>+'Pricing sheet'!B33</f>
        <v>CABINE INOX 1300/1200 STANDARD</v>
      </c>
      <c r="C23" s="75" t="str">
        <f>+'Pricing sheet'!C33</f>
        <v>CABINE &amp; ARCADE</v>
      </c>
      <c r="D23" s="75" t="str">
        <f>+'Pricing sheet'!D33</f>
        <v>Pc</v>
      </c>
      <c r="E23" s="75">
        <f>+'Pricing sheet'!E33</f>
        <v>350</v>
      </c>
      <c r="F23" s="126">
        <f>+'Pricing sheet'!M33</f>
        <v>18095.801837866664</v>
      </c>
      <c r="G23" s="126">
        <f>+'Pricing sheet'!N33</f>
        <v>18664.201837866665</v>
      </c>
      <c r="H23" s="126">
        <f>+'Pricing sheet'!O33</f>
        <v>21128.046075733335</v>
      </c>
      <c r="I23" s="175"/>
      <c r="S23" s="175" t="str">
        <f t="shared" si="0"/>
        <v/>
      </c>
      <c r="T23" s="175" t="str">
        <f t="shared" si="1"/>
        <v/>
      </c>
      <c r="U23" s="175" t="str">
        <f t="shared" si="2"/>
        <v/>
      </c>
      <c r="V23" s="175" t="str">
        <f t="shared" si="3"/>
        <v/>
      </c>
    </row>
    <row r="24" spans="1:29" s="120" customFormat="1" ht="21" customHeight="1" x14ac:dyDescent="0.25">
      <c r="A24" s="1" t="str">
        <f>+'Pricing sheet'!A34</f>
        <v>IT.1-21</v>
      </c>
      <c r="B24" s="75" t="str">
        <f>+'Pricing sheet'!B34</f>
        <v>CABINE INOX 1300/1200 PERSONALISÉE</v>
      </c>
      <c r="C24" s="75" t="str">
        <f>+'Pricing sheet'!C34</f>
        <v>CABINE &amp; ARCADE</v>
      </c>
      <c r="D24" s="75" t="str">
        <f>+'Pricing sheet'!D34</f>
        <v>Pc</v>
      </c>
      <c r="E24" s="75">
        <f>+'Pricing sheet'!E34</f>
        <v>350</v>
      </c>
      <c r="F24" s="126">
        <f>+'Pricing sheet'!M34</f>
        <v>22107.03420986667</v>
      </c>
      <c r="G24" s="126">
        <f>+'Pricing sheet'!N34</f>
        <v>22822.434209866671</v>
      </c>
      <c r="H24" s="126">
        <f>+'Pricing sheet'!O34</f>
        <v>25925.582819733339</v>
      </c>
      <c r="I24" s="178" t="str">
        <f>IF(SUM(S24:AC24)&lt;&gt;0,SUM(S24:AC24),"")</f>
        <v/>
      </c>
      <c r="S24" s="175" t="str">
        <f t="shared" si="0"/>
        <v/>
      </c>
      <c r="T24" s="175" t="str">
        <f t="shared" si="1"/>
        <v/>
      </c>
      <c r="U24" s="175" t="str">
        <f t="shared" si="2"/>
        <v/>
      </c>
      <c r="V24" s="175" t="str">
        <f t="shared" si="3"/>
        <v/>
      </c>
    </row>
    <row r="25" spans="1:29" s="120" customFormat="1" ht="21" customHeight="1" x14ac:dyDescent="0.25">
      <c r="A25" s="1" t="str">
        <f>+'Pricing sheet'!A35</f>
        <v>IT.1-22</v>
      </c>
      <c r="B25" s="75" t="str">
        <f>+'Pricing sheet'!B35</f>
        <v>CABINE  1300/1200 PANORAMIQUE</v>
      </c>
      <c r="C25" s="75" t="str">
        <f>+'Pricing sheet'!C35</f>
        <v>CABINE &amp; ARCADE</v>
      </c>
      <c r="D25" s="75" t="str">
        <f>+'Pricing sheet'!D35</f>
        <v>Pc</v>
      </c>
      <c r="E25" s="75">
        <f>+'Pricing sheet'!E35</f>
        <v>350</v>
      </c>
      <c r="F25" s="126">
        <f>+'Pricing sheet'!M35</f>
        <v>31046.50673833333</v>
      </c>
      <c r="G25" s="126">
        <f>+'Pricing sheet'!N35</f>
        <v>32051.00673833333</v>
      </c>
      <c r="H25" s="126">
        <f>+'Pricing sheet'!O35</f>
        <v>36413.975476666667</v>
      </c>
      <c r="I25" s="178" t="str">
        <f t="shared" ref="I25:I88" si="4">IF(SUM(S25:AC25)&lt;&gt;0,SUM(S25:AC25),"")</f>
        <v/>
      </c>
      <c r="S25" s="175" t="str">
        <f t="shared" si="0"/>
        <v/>
      </c>
      <c r="T25" s="175" t="str">
        <f t="shared" si="1"/>
        <v/>
      </c>
      <c r="U25" s="175" t="str">
        <f t="shared" si="2"/>
        <v/>
      </c>
      <c r="V25" s="175" t="str">
        <f t="shared" si="3"/>
        <v/>
      </c>
    </row>
    <row r="26" spans="1:29" s="120" customFormat="1" ht="21" customHeight="1" x14ac:dyDescent="0.25">
      <c r="A26" s="1" t="str">
        <f>+'Pricing sheet'!A36</f>
        <v>IT.1-23</v>
      </c>
      <c r="B26" s="75" t="str">
        <f>+'Pricing sheet'!B36</f>
        <v>CABINE  1400/1300 PANORAMIQUE</v>
      </c>
      <c r="C26" s="75" t="str">
        <f>+'Pricing sheet'!C36</f>
        <v>CABINE &amp; ARCADE</v>
      </c>
      <c r="D26" s="75" t="str">
        <f>+'Pricing sheet'!D36</f>
        <v>Pc</v>
      </c>
      <c r="E26" s="75">
        <f>+'Pricing sheet'!E36</f>
        <v>350</v>
      </c>
      <c r="F26" s="126">
        <f>+'Pricing sheet'!M36</f>
        <v>34835.427246666666</v>
      </c>
      <c r="G26" s="126">
        <f>+'Pricing sheet'!N36</f>
        <v>35962.427246666666</v>
      </c>
      <c r="H26" s="126">
        <f>+'Pricing sheet'!O36</f>
        <v>40860.226493333335</v>
      </c>
      <c r="I26" s="178" t="str">
        <f t="shared" si="4"/>
        <v/>
      </c>
      <c r="S26" s="175" t="str">
        <f t="shared" si="0"/>
        <v/>
      </c>
      <c r="T26" s="175" t="str">
        <f t="shared" si="1"/>
        <v/>
      </c>
      <c r="U26" s="175" t="str">
        <f t="shared" si="2"/>
        <v/>
      </c>
      <c r="V26" s="175" t="str">
        <f t="shared" si="3"/>
        <v/>
      </c>
    </row>
    <row r="27" spans="1:29" s="120" customFormat="1" ht="21" customHeight="1" x14ac:dyDescent="0.25">
      <c r="A27" s="1" t="str">
        <f>+'Pricing sheet'!A37</f>
        <v>IT.1-7</v>
      </c>
      <c r="B27" s="75" t="str">
        <f>+'Pricing sheet'!B37</f>
        <v>ARCADE CABINE 1000/900 + ARCADE CONTRE-POIDS + TIRANDS + COULISSEAUX GEARBOX</v>
      </c>
      <c r="C27" s="75" t="str">
        <f>+'Pricing sheet'!C37</f>
        <v>CABINE &amp; ARCADE</v>
      </c>
      <c r="D27" s="75" t="str">
        <f>+'Pricing sheet'!D37</f>
        <v>SET</v>
      </c>
      <c r="E27" s="75">
        <f>+'Pricing sheet'!E37</f>
        <v>200</v>
      </c>
      <c r="F27" s="126">
        <f>+'Pricing sheet'!M37</f>
        <v>6811.6294049999988</v>
      </c>
      <c r="G27" s="126">
        <f>+'Pricing sheet'!N37</f>
        <v>7252.6294049999988</v>
      </c>
      <c r="H27" s="126">
        <f>+'Pricing sheet'!O37</f>
        <v>7986.3968100000002</v>
      </c>
      <c r="I27" s="178" t="str">
        <f t="shared" si="4"/>
        <v/>
      </c>
      <c r="S27" s="175" t="str">
        <f t="shared" si="0"/>
        <v/>
      </c>
      <c r="T27" s="175" t="str">
        <f t="shared" si="1"/>
        <v/>
      </c>
      <c r="U27" s="175" t="str">
        <f t="shared" si="2"/>
        <v/>
      </c>
      <c r="V27" s="175" t="str">
        <f t="shared" si="3"/>
        <v/>
      </c>
    </row>
    <row r="28" spans="1:29" s="120" customFormat="1" ht="21" customHeight="1" x14ac:dyDescent="0.25">
      <c r="A28" s="1" t="str">
        <f>+'Pricing sheet'!A38</f>
        <v>IT.1-8</v>
      </c>
      <c r="B28" s="75" t="str">
        <f>+'Pricing sheet'!B38</f>
        <v>ARCADE CABINE 1000/900 + ARCADE CONTRE-POIDS + TIRANDS + COULISSEAUX GEARLESS</v>
      </c>
      <c r="C28" s="75" t="str">
        <f>+'Pricing sheet'!C38</f>
        <v>CABINE &amp; ARCADE</v>
      </c>
      <c r="D28" s="75" t="str">
        <f>+'Pricing sheet'!D38</f>
        <v>SET</v>
      </c>
      <c r="E28" s="75">
        <f>+'Pricing sheet'!E38</f>
        <v>200</v>
      </c>
      <c r="F28" s="126">
        <f>+'Pricing sheet'!M38</f>
        <v>10596.708313333336</v>
      </c>
      <c r="G28" s="126">
        <f>+'Pricing sheet'!N38</f>
        <v>11282.708313333336</v>
      </c>
      <c r="H28" s="126">
        <f>+'Pricing sheet'!O38</f>
        <v>12424.964626666668</v>
      </c>
      <c r="I28" s="178" t="str">
        <f t="shared" si="4"/>
        <v/>
      </c>
      <c r="S28" s="175" t="str">
        <f t="shared" si="0"/>
        <v/>
      </c>
      <c r="T28" s="175" t="str">
        <f t="shared" si="1"/>
        <v/>
      </c>
      <c r="U28" s="175" t="str">
        <f t="shared" si="2"/>
        <v/>
      </c>
      <c r="V28" s="175" t="str">
        <f t="shared" si="3"/>
        <v/>
      </c>
    </row>
    <row r="29" spans="1:29" s="120" customFormat="1" ht="21" customHeight="1" x14ac:dyDescent="0.25">
      <c r="A29" s="1" t="str">
        <f>+'Pricing sheet'!A39</f>
        <v>IT.1-9</v>
      </c>
      <c r="B29" s="75" t="str">
        <f>+'Pricing sheet'!B39</f>
        <v>ARCADE CABINE 1100/1000 + ARCADE CONTRE-POIDS + TIRANDS + COULISSEAUX GEARBOX</v>
      </c>
      <c r="C29" s="75" t="str">
        <f>+'Pricing sheet'!C39</f>
        <v>CABINE &amp; ARCADE</v>
      </c>
      <c r="D29" s="75" t="str">
        <f>+'Pricing sheet'!D39</f>
        <v>SET</v>
      </c>
      <c r="E29" s="75">
        <f>+'Pricing sheet'!E39</f>
        <v>200</v>
      </c>
      <c r="F29" s="126">
        <f>+'Pricing sheet'!M39</f>
        <v>7114.4136284666665</v>
      </c>
      <c r="G29" s="126">
        <f>+'Pricing sheet'!N39</f>
        <v>7575.0136284666669</v>
      </c>
      <c r="H29" s="126">
        <f>+'Pricing sheet'!O39</f>
        <v>8341.4380569333334</v>
      </c>
      <c r="I29" s="178" t="str">
        <f t="shared" si="4"/>
        <v/>
      </c>
      <c r="S29" s="175" t="str">
        <f t="shared" si="0"/>
        <v/>
      </c>
      <c r="T29" s="175" t="str">
        <f t="shared" si="1"/>
        <v/>
      </c>
      <c r="U29" s="175" t="str">
        <f t="shared" si="2"/>
        <v/>
      </c>
      <c r="V29" s="175" t="str">
        <f t="shared" si="3"/>
        <v/>
      </c>
      <c r="AC29" s="175" t="str">
        <f>IF(L2="SEMI",1,"")</f>
        <v/>
      </c>
    </row>
    <row r="30" spans="1:29" s="120" customFormat="1" ht="21" customHeight="1" x14ac:dyDescent="0.25">
      <c r="A30" s="1" t="str">
        <f>+'Pricing sheet'!A40</f>
        <v>IT.1-10</v>
      </c>
      <c r="B30" s="75" t="str">
        <f>+'Pricing sheet'!B40</f>
        <v>ARCADE CABINE 1100/1000 + ARCADE CONTRE-POIDS + TIRANDS + COULISSEAUX GEARLESS</v>
      </c>
      <c r="C30" s="75" t="str">
        <f>+'Pricing sheet'!C40</f>
        <v>CABINE &amp; ARCADE</v>
      </c>
      <c r="D30" s="75" t="str">
        <f>+'Pricing sheet'!D40</f>
        <v>SET</v>
      </c>
      <c r="E30" s="75">
        <f>+'Pricing sheet'!E40</f>
        <v>200</v>
      </c>
      <c r="F30" s="126">
        <f>+'Pricing sheet'!M40</f>
        <v>10899.540556800002</v>
      </c>
      <c r="G30" s="126">
        <f>+'Pricing sheet'!N40</f>
        <v>11605.140556800001</v>
      </c>
      <c r="H30" s="126">
        <f>+'Pricing sheet'!O40</f>
        <v>12780.101913600003</v>
      </c>
      <c r="I30" s="178" t="str">
        <f t="shared" si="4"/>
        <v/>
      </c>
      <c r="S30" s="175" t="str">
        <f t="shared" si="0"/>
        <v/>
      </c>
      <c r="T30" s="175" t="str">
        <f t="shared" si="1"/>
        <v/>
      </c>
      <c r="U30" s="175" t="str">
        <f t="shared" si="2"/>
        <v/>
      </c>
      <c r="V30" s="175" t="str">
        <f t="shared" si="3"/>
        <v/>
      </c>
      <c r="AC30" s="175" t="str">
        <f t="shared" ref="AC30:AC31" si="5">IF(L3="SEMI",1,"")</f>
        <v/>
      </c>
    </row>
    <row r="31" spans="1:29" s="120" customFormat="1" ht="21" customHeight="1" x14ac:dyDescent="0.25">
      <c r="A31" s="1" t="str">
        <f>+'Pricing sheet'!A41</f>
        <v>IT.1-11</v>
      </c>
      <c r="B31" s="75" t="str">
        <f>+'Pricing sheet'!B41</f>
        <v>ARCADE CABINE 1200/1100 + ARCADE CONTRE-POIDS + TIRANDS + COULISSEAUX GEARBOX</v>
      </c>
      <c r="C31" s="75" t="str">
        <f>+'Pricing sheet'!C41</f>
        <v>CABINE &amp; ARCADE</v>
      </c>
      <c r="D31" s="75" t="str">
        <f>+'Pricing sheet'!D41</f>
        <v>SET</v>
      </c>
      <c r="E31" s="75">
        <f>+'Pricing sheet'!E41</f>
        <v>200</v>
      </c>
      <c r="F31" s="126">
        <f>+'Pricing sheet'!M41</f>
        <v>7417.2016935333331</v>
      </c>
      <c r="G31" s="126">
        <f>+'Pricing sheet'!N41</f>
        <v>7897.4016935333329</v>
      </c>
      <c r="H31" s="126">
        <f>+'Pricing sheet'!O41</f>
        <v>8696.4869870666662</v>
      </c>
      <c r="I31" s="178" t="str">
        <f t="shared" si="4"/>
        <v/>
      </c>
      <c r="S31" s="175" t="str">
        <f t="shared" si="0"/>
        <v/>
      </c>
      <c r="T31" s="175" t="str">
        <f t="shared" si="1"/>
        <v/>
      </c>
      <c r="U31" s="175" t="str">
        <f t="shared" si="2"/>
        <v/>
      </c>
      <c r="V31" s="175" t="str">
        <f t="shared" si="3"/>
        <v/>
      </c>
      <c r="AC31" s="175" t="str">
        <f t="shared" si="5"/>
        <v/>
      </c>
    </row>
    <row r="32" spans="1:29" s="120" customFormat="1" ht="21" customHeight="1" x14ac:dyDescent="0.25">
      <c r="A32" s="1" t="str">
        <f>+'Pricing sheet'!A42</f>
        <v>IT.1-12</v>
      </c>
      <c r="B32" s="75" t="str">
        <f>+'Pricing sheet'!B42</f>
        <v>ARCADE CABINE 1200/1100 + ARCADE CONTRE-POIDS + TIRANDS + COULISSEAUX GEARLESS</v>
      </c>
      <c r="C32" s="75" t="str">
        <f>+'Pricing sheet'!C42</f>
        <v>CABINE &amp; ARCADE</v>
      </c>
      <c r="D32" s="75" t="str">
        <f>+'Pricing sheet'!D42</f>
        <v>SET</v>
      </c>
      <c r="E32" s="75">
        <f>+'Pricing sheet'!E42</f>
        <v>200</v>
      </c>
      <c r="F32" s="126">
        <f>+'Pricing sheet'!M42</f>
        <v>11202.376641866666</v>
      </c>
      <c r="G32" s="126">
        <f>+'Pricing sheet'!N42</f>
        <v>11927.576641866666</v>
      </c>
      <c r="H32" s="126">
        <f>+'Pricing sheet'!O42</f>
        <v>13135.246883733334</v>
      </c>
      <c r="I32" s="178" t="str">
        <f t="shared" si="4"/>
        <v/>
      </c>
      <c r="S32" s="175" t="str">
        <f t="shared" si="0"/>
        <v/>
      </c>
      <c r="T32" s="175" t="str">
        <f t="shared" si="1"/>
        <v/>
      </c>
      <c r="U32" s="175" t="str">
        <f t="shared" si="2"/>
        <v/>
      </c>
      <c r="V32" s="175" t="str">
        <f t="shared" si="3"/>
        <v/>
      </c>
    </row>
    <row r="33" spans="1:24" s="120" customFormat="1" ht="21" customHeight="1" x14ac:dyDescent="0.25">
      <c r="A33" s="1" t="str">
        <f>+'Pricing sheet'!A43</f>
        <v>IT.1-15</v>
      </c>
      <c r="B33" s="75" t="str">
        <f>+'Pricing sheet'!B43</f>
        <v>ARCADE CABINE 1400/1300 + ARCADE CONTRE-POIDS + TIRANDS + COULISSEAUX GEARBOX</v>
      </c>
      <c r="C33" s="75" t="str">
        <f>+'Pricing sheet'!C43</f>
        <v>CABINE &amp; ARCADE</v>
      </c>
      <c r="D33" s="75" t="str">
        <f>+'Pricing sheet'!D43</f>
        <v>SET</v>
      </c>
      <c r="E33" s="75">
        <f>+'Pricing sheet'!E43</f>
        <v>201</v>
      </c>
      <c r="F33" s="126">
        <f>+'Pricing sheet'!M43</f>
        <v>8931.1996428666662</v>
      </c>
      <c r="G33" s="126">
        <f>+'Pricing sheet'!N43</f>
        <v>9509.3996428666669</v>
      </c>
      <c r="H33" s="126">
        <f>+'Pricing sheet'!O43</f>
        <v>10471.846885733334</v>
      </c>
      <c r="I33" s="178" t="str">
        <f t="shared" si="4"/>
        <v/>
      </c>
      <c r="S33" s="175" t="str">
        <f t="shared" si="0"/>
        <v/>
      </c>
      <c r="T33" s="175" t="str">
        <f t="shared" si="1"/>
        <v/>
      </c>
      <c r="U33" s="175" t="str">
        <f t="shared" si="2"/>
        <v/>
      </c>
      <c r="V33" s="175" t="str">
        <f t="shared" si="3"/>
        <v/>
      </c>
    </row>
    <row r="34" spans="1:24" s="120" customFormat="1" ht="21" customHeight="1" x14ac:dyDescent="0.25">
      <c r="A34" s="1" t="str">
        <f>+'Pricing sheet'!A44</f>
        <v>IT.1-16</v>
      </c>
      <c r="B34" s="75" t="str">
        <f>+'Pricing sheet'!B44</f>
        <v>ARCADE CABINE 1400/1300 + ARCADE CONTRE-POIDS + TIRANDS + COULISSEAUX GEARLESS</v>
      </c>
      <c r="C34" s="75" t="str">
        <f>+'Pricing sheet'!C44</f>
        <v>CABINE &amp; ARCADE</v>
      </c>
      <c r="D34" s="75" t="str">
        <f>+'Pricing sheet'!D44</f>
        <v>SET</v>
      </c>
      <c r="E34" s="75">
        <f>+'Pricing sheet'!E44</f>
        <v>202</v>
      </c>
      <c r="F34" s="126">
        <f>+'Pricing sheet'!M44</f>
        <v>14230.948780533332</v>
      </c>
      <c r="G34" s="126">
        <f>+'Pricing sheet'!N44</f>
        <v>15152.148780533333</v>
      </c>
      <c r="H34" s="126">
        <f>+'Pricing sheet'!O44</f>
        <v>16687.119161066665</v>
      </c>
      <c r="I34" s="178" t="str">
        <f t="shared" si="4"/>
        <v/>
      </c>
      <c r="S34" s="175" t="str">
        <f t="shared" si="0"/>
        <v/>
      </c>
      <c r="T34" s="175" t="str">
        <f t="shared" si="1"/>
        <v/>
      </c>
      <c r="U34" s="175" t="str">
        <f t="shared" si="2"/>
        <v/>
      </c>
      <c r="V34" s="175" t="str">
        <f t="shared" si="3"/>
        <v/>
      </c>
    </row>
    <row r="35" spans="1:24" s="120" customFormat="1" ht="21" customHeight="1" x14ac:dyDescent="0.25">
      <c r="A35" s="1" t="str">
        <f>+'Pricing sheet'!A45</f>
        <v>IT.1-17</v>
      </c>
      <c r="B35" s="75" t="str">
        <f>+'Pricing sheet'!B45</f>
        <v>SET ARCADE TYPE L VVVF 2V</v>
      </c>
      <c r="C35" s="75" t="str">
        <f>+'Pricing sheet'!C45</f>
        <v>CABINE &amp; ARCADE</v>
      </c>
      <c r="D35" s="75" t="str">
        <f>+'Pricing sheet'!D45</f>
        <v>SET</v>
      </c>
      <c r="E35" s="75">
        <f>+'Pricing sheet'!E45</f>
        <v>203</v>
      </c>
      <c r="F35" s="126">
        <f>+'Pricing sheet'!M45</f>
        <v>15139.595333333335</v>
      </c>
      <c r="G35" s="126">
        <f>+'Pricing sheet'!N45</f>
        <v>16119.595333333335</v>
      </c>
      <c r="H35" s="126">
        <f>+'Pricing sheet'!O45</f>
        <v>17752.830666666669</v>
      </c>
      <c r="I35" s="178" t="str">
        <f t="shared" si="4"/>
        <v/>
      </c>
      <c r="S35" s="175" t="str">
        <f t="shared" si="0"/>
        <v/>
      </c>
      <c r="T35" s="175" t="str">
        <f t="shared" si="1"/>
        <v/>
      </c>
      <c r="U35" s="175" t="str">
        <f t="shared" si="2"/>
        <v/>
      </c>
      <c r="V35" s="175" t="str">
        <f t="shared" si="3"/>
        <v/>
      </c>
    </row>
    <row r="36" spans="1:24" s="120" customFormat="1" ht="21" customHeight="1" x14ac:dyDescent="0.25">
      <c r="A36" s="1" t="str">
        <f>+'Pricing sheet'!A46</f>
        <v>IT.1-18</v>
      </c>
      <c r="B36" s="75" t="str">
        <f>+'Pricing sheet'!B46</f>
        <v>SET ARCADE TYPE L GEARLESS</v>
      </c>
      <c r="C36" s="75" t="str">
        <f>+'Pricing sheet'!C46</f>
        <v>CABINE &amp; ARCADE</v>
      </c>
      <c r="D36" s="75" t="str">
        <f>+'Pricing sheet'!D46</f>
        <v>SET</v>
      </c>
      <c r="E36" s="75">
        <f>+'Pricing sheet'!E46</f>
        <v>204</v>
      </c>
      <c r="F36" s="126">
        <f>+'Pricing sheet'!M46</f>
        <v>18168.666880000001</v>
      </c>
      <c r="G36" s="126">
        <f>+'Pricing sheet'!N46</f>
        <v>19344.666880000001</v>
      </c>
      <c r="H36" s="126">
        <f>+'Pricing sheet'!O46</f>
        <v>21305.70176</v>
      </c>
      <c r="I36" s="178">
        <f t="shared" si="4"/>
        <v>36</v>
      </c>
      <c r="S36" s="175" t="str">
        <f t="shared" si="0"/>
        <v/>
      </c>
      <c r="T36" s="175" t="str">
        <f t="shared" si="1"/>
        <v/>
      </c>
      <c r="U36" s="175" t="str">
        <f t="shared" si="2"/>
        <v/>
      </c>
      <c r="V36" s="175" t="str">
        <f t="shared" si="3"/>
        <v/>
      </c>
      <c r="X36" s="175">
        <f>(INT((H2+1)*3/2))*4</f>
        <v>36</v>
      </c>
    </row>
    <row r="37" spans="1:24" s="120" customFormat="1" ht="21" customHeight="1" x14ac:dyDescent="0.25">
      <c r="A37" s="1" t="str">
        <f>+'Pricing sheet'!A47</f>
        <v>HYD1-1</v>
      </c>
      <c r="B37" s="75" t="str">
        <f>+'Pricing sheet'!B47</f>
        <v>SET SYSTÈME HYDRAULIQUE MAX4 STANDARD 0,15M/S 10M COURSE (4 NIVEAUX)</v>
      </c>
      <c r="C37" s="75" t="str">
        <f>+'Pricing sheet'!C47</f>
        <v>HYDRAULIQUE</v>
      </c>
      <c r="D37" s="75" t="str">
        <f>+'Pricing sheet'!D47</f>
        <v>SET</v>
      </c>
      <c r="E37" s="75">
        <f>+'Pricing sheet'!E47</f>
        <v>200</v>
      </c>
      <c r="F37" s="126">
        <f>+'Pricing sheet'!M47</f>
        <v>22712.994500000004</v>
      </c>
      <c r="G37" s="126">
        <f>+'Pricing sheet'!N47</f>
        <v>24182.994500000004</v>
      </c>
      <c r="H37" s="126">
        <f>+'Pricing sheet'!O47</f>
        <v>26636.449000000004</v>
      </c>
      <c r="I37" s="178">
        <f t="shared" si="4"/>
        <v>36</v>
      </c>
      <c r="S37" s="175" t="str">
        <f t="shared" si="0"/>
        <v/>
      </c>
      <c r="T37" s="175" t="str">
        <f t="shared" si="1"/>
        <v/>
      </c>
      <c r="U37" s="175" t="str">
        <f t="shared" si="2"/>
        <v/>
      </c>
      <c r="V37" s="175" t="str">
        <f t="shared" si="3"/>
        <v/>
      </c>
      <c r="X37" s="175">
        <f>(INT((H2+1)*3/2))*4</f>
        <v>36</v>
      </c>
    </row>
    <row r="38" spans="1:24" s="120" customFormat="1" ht="21" customHeight="1" x14ac:dyDescent="0.25">
      <c r="A38" s="1" t="str">
        <f>+'Pricing sheet'!A48</f>
        <v>HYD1-2</v>
      </c>
      <c r="B38" s="75" t="str">
        <f>+'Pricing sheet'!B48</f>
        <v>SET SYSTÈME HYDRAULIQUE MAX4 STANDARD 0,15M/S 7M COURSE (3 NIVEAUX)</v>
      </c>
      <c r="C38" s="75" t="str">
        <f>+'Pricing sheet'!C48</f>
        <v>HYDRAULIQUE</v>
      </c>
      <c r="D38" s="75" t="str">
        <f>+'Pricing sheet'!D48</f>
        <v>SET</v>
      </c>
      <c r="E38" s="75">
        <f>+'Pricing sheet'!E48</f>
        <v>198</v>
      </c>
      <c r="F38" s="126">
        <f>+'Pricing sheet'!M48</f>
        <v>521.23500000000001</v>
      </c>
      <c r="G38" s="126">
        <f>+'Pricing sheet'!N48</f>
        <v>521.23500000000001</v>
      </c>
      <c r="H38" s="126">
        <f>+'Pricing sheet'!O48</f>
        <v>521.23500000000001</v>
      </c>
      <c r="I38" s="178">
        <f t="shared" si="4"/>
        <v>36</v>
      </c>
      <c r="S38" s="175" t="str">
        <f t="shared" si="0"/>
        <v/>
      </c>
      <c r="T38" s="175" t="str">
        <f t="shared" si="1"/>
        <v/>
      </c>
      <c r="U38" s="175" t="str">
        <f t="shared" si="2"/>
        <v/>
      </c>
      <c r="V38" s="175" t="str">
        <f t="shared" si="3"/>
        <v/>
      </c>
      <c r="X38" s="175">
        <f>+X36</f>
        <v>36</v>
      </c>
    </row>
    <row r="39" spans="1:24" s="120" customFormat="1" ht="21" customHeight="1" x14ac:dyDescent="0.25">
      <c r="A39" s="1" t="str">
        <f>+'Pricing sheet'!A49</f>
        <v>HYD1-3</v>
      </c>
      <c r="B39" s="75" t="str">
        <f>+'Pricing sheet'!B49</f>
        <v>SET SYSTÈME HYDRAULIQUE MAX4 STANDARD 0,15M/S 4M COURSE (2 NIVEAUX)</v>
      </c>
      <c r="C39" s="75" t="str">
        <f>+'Pricing sheet'!C49</f>
        <v>HYDRAULIQUE</v>
      </c>
      <c r="D39" s="75" t="str">
        <f>+'Pricing sheet'!D49</f>
        <v>SET</v>
      </c>
      <c r="E39" s="75">
        <f>+'Pricing sheet'!E49</f>
        <v>199</v>
      </c>
      <c r="F39" s="126">
        <f>+'Pricing sheet'!M49</f>
        <v>523.86750000000006</v>
      </c>
      <c r="G39" s="126">
        <f>+'Pricing sheet'!N49</f>
        <v>523.86750000000006</v>
      </c>
      <c r="H39" s="126">
        <f>+'Pricing sheet'!O49</f>
        <v>523.86750000000006</v>
      </c>
      <c r="I39" s="178">
        <f t="shared" si="4"/>
        <v>36</v>
      </c>
      <c r="S39" s="175" t="str">
        <f t="shared" si="0"/>
        <v/>
      </c>
      <c r="T39" s="175" t="str">
        <f t="shared" si="1"/>
        <v/>
      </c>
      <c r="U39" s="175" t="str">
        <f t="shared" si="2"/>
        <v/>
      </c>
      <c r="V39" s="175" t="str">
        <f t="shared" si="3"/>
        <v/>
      </c>
      <c r="X39" s="175">
        <f>+IF(G2&gt;8,"",X38)</f>
        <v>36</v>
      </c>
    </row>
    <row r="40" spans="1:24" s="120" customFormat="1" ht="21" customHeight="1" x14ac:dyDescent="0.25">
      <c r="A40" s="1" t="str">
        <f>+'Pricing sheet'!A50</f>
        <v>HYD2-1</v>
      </c>
      <c r="B40" s="75" t="str">
        <f>+'Pricing sheet'!B50</f>
        <v>SET SYSTÈME HYDRAULIQUE MAX4 GMV 0,62M/S 10M COURSE (4 NIVEAUX)</v>
      </c>
      <c r="C40" s="75" t="str">
        <f>+'Pricing sheet'!C50</f>
        <v>HYDRAULIQUE</v>
      </c>
      <c r="D40" s="75" t="str">
        <f>+'Pricing sheet'!D50</f>
        <v>SET</v>
      </c>
      <c r="E40" s="75">
        <f>+'Pricing sheet'!E50</f>
        <v>200</v>
      </c>
      <c r="F40" s="126">
        <f>+'Pricing sheet'!M50</f>
        <v>49997.111780000014</v>
      </c>
      <c r="G40" s="126">
        <f>+'Pricing sheet'!N50</f>
        <v>53231.111780000014</v>
      </c>
      <c r="H40" s="126">
        <f>+'Pricing sheet'!O50</f>
        <v>58657.235560000016</v>
      </c>
      <c r="I40" s="178" t="str">
        <f t="shared" si="4"/>
        <v/>
      </c>
      <c r="S40" s="175" t="str">
        <f t="shared" si="0"/>
        <v/>
      </c>
      <c r="T40" s="175" t="str">
        <f t="shared" si="1"/>
        <v/>
      </c>
      <c r="U40" s="175" t="str">
        <f t="shared" si="2"/>
        <v/>
      </c>
      <c r="V40" s="175" t="str">
        <f t="shared" si="3"/>
        <v/>
      </c>
    </row>
    <row r="41" spans="1:24" s="120" customFormat="1" ht="21" customHeight="1" x14ac:dyDescent="0.25">
      <c r="A41" s="1" t="str">
        <f>+'Pricing sheet'!A51</f>
        <v>HYD2-2</v>
      </c>
      <c r="B41" s="75" t="str">
        <f>+'Pricing sheet'!B51</f>
        <v>SET SYSTÈME HYDRAULIQUE MAX4 GMV 0,62M/S 7M COURSE (3 NIVEAUX)</v>
      </c>
      <c r="C41" s="75" t="str">
        <f>+'Pricing sheet'!C51</f>
        <v>HYDRAULIQUE</v>
      </c>
      <c r="D41" s="75" t="str">
        <f>+'Pricing sheet'!D51</f>
        <v>SET</v>
      </c>
      <c r="E41" s="75">
        <f>+'Pricing sheet'!E51</f>
        <v>200</v>
      </c>
      <c r="F41" s="126">
        <f>+'Pricing sheet'!M51</f>
        <v>45447.598000000013</v>
      </c>
      <c r="G41" s="126">
        <f>+'Pricing sheet'!N51</f>
        <v>48387.598000000013</v>
      </c>
      <c r="H41" s="126">
        <f>+'Pricing sheet'!O51</f>
        <v>53316.116000000009</v>
      </c>
      <c r="I41" s="178" t="str">
        <f t="shared" si="4"/>
        <v/>
      </c>
      <c r="S41" s="175" t="str">
        <f t="shared" si="0"/>
        <v/>
      </c>
      <c r="T41" s="175" t="str">
        <f t="shared" si="1"/>
        <v/>
      </c>
      <c r="U41" s="175" t="str">
        <f t="shared" si="2"/>
        <v/>
      </c>
      <c r="V41" s="175" t="str">
        <f t="shared" si="3"/>
        <v/>
      </c>
      <c r="X41" s="175" t="str">
        <f>+IF(G2&gt;8,X38,"")</f>
        <v/>
      </c>
    </row>
    <row r="42" spans="1:24" s="120" customFormat="1" ht="21" customHeight="1" x14ac:dyDescent="0.25">
      <c r="A42" s="1" t="str">
        <f>+'Pricing sheet'!A52</f>
        <v>HYD2-3</v>
      </c>
      <c r="B42" s="75" t="str">
        <f>+'Pricing sheet'!B52</f>
        <v>SET SYSTÈME HYDRAULIQUE MAX4 GMV 0,62M/S 4M COURSE (2 NIVEAUX)</v>
      </c>
      <c r="C42" s="75" t="str">
        <f>+'Pricing sheet'!C52</f>
        <v>HYDRAULIQUE</v>
      </c>
      <c r="D42" s="75" t="str">
        <f>+'Pricing sheet'!D52</f>
        <v>SET</v>
      </c>
      <c r="E42" s="75">
        <f>+'Pricing sheet'!E52</f>
        <v>200</v>
      </c>
      <c r="F42" s="126">
        <f>+'Pricing sheet'!M52</f>
        <v>40898.948580000004</v>
      </c>
      <c r="G42" s="126">
        <f>+'Pricing sheet'!N52</f>
        <v>43544.948580000004</v>
      </c>
      <c r="H42" s="126">
        <f>+'Pricing sheet'!O52</f>
        <v>47976.725160000009</v>
      </c>
      <c r="I42" s="178" t="str">
        <f t="shared" si="4"/>
        <v/>
      </c>
      <c r="S42" s="175" t="str">
        <f t="shared" si="0"/>
        <v/>
      </c>
      <c r="T42" s="175" t="str">
        <f t="shared" si="1"/>
        <v/>
      </c>
      <c r="U42" s="175" t="str">
        <f t="shared" si="2"/>
        <v/>
      </c>
      <c r="V42" s="175" t="str">
        <f t="shared" si="3"/>
        <v/>
      </c>
    </row>
    <row r="43" spans="1:24" s="120" customFormat="1" ht="21" customHeight="1" x14ac:dyDescent="0.25">
      <c r="A43" s="1" t="str">
        <f>+'Pricing sheet'!A53</f>
        <v>HYD3</v>
      </c>
      <c r="B43" s="75" t="str">
        <f>+'Pricing sheet'!B53</f>
        <v>SET COMPOSANTES ELECTRIQUES POUR SYSTEME HYDRAULIQUE</v>
      </c>
      <c r="C43" s="75" t="str">
        <f>+'Pricing sheet'!C53</f>
        <v>HYDRAULIQUE</v>
      </c>
      <c r="D43" s="75" t="str">
        <f>+'Pricing sheet'!D53</f>
        <v>SET</v>
      </c>
      <c r="E43" s="75">
        <f>+'Pricing sheet'!E53</f>
        <v>200</v>
      </c>
      <c r="F43" s="126">
        <f>+'Pricing sheet'!M53</f>
        <v>12110.907946666668</v>
      </c>
      <c r="G43" s="126">
        <f>+'Pricing sheet'!N53</f>
        <v>12894.907946666668</v>
      </c>
      <c r="H43" s="126">
        <f>+'Pricing sheet'!O53</f>
        <v>14200.727893333335</v>
      </c>
      <c r="I43" s="178">
        <f t="shared" si="4"/>
        <v>64</v>
      </c>
      <c r="S43" s="175" t="str">
        <f t="shared" si="0"/>
        <v/>
      </c>
      <c r="T43" s="175" t="str">
        <f t="shared" si="1"/>
        <v/>
      </c>
      <c r="U43" s="175" t="str">
        <f t="shared" si="2"/>
        <v/>
      </c>
      <c r="V43" s="175" t="str">
        <f t="shared" si="3"/>
        <v/>
      </c>
      <c r="X43" s="175">
        <f>+X48*8</f>
        <v>64</v>
      </c>
    </row>
    <row r="44" spans="1:24" s="120" customFormat="1" ht="21" customHeight="1" x14ac:dyDescent="0.25">
      <c r="A44" s="1" t="str">
        <f>+'Pricing sheet'!A54</f>
        <v>HYD4</v>
      </c>
      <c r="B44" s="75" t="str">
        <f>+'Pricing sheet'!B54</f>
        <v>HUILE HYDRAULIQUE</v>
      </c>
      <c r="C44" s="75" t="str">
        <f>+'Pricing sheet'!C54</f>
        <v>HYDRAULIQUE</v>
      </c>
      <c r="D44" s="75" t="str">
        <f>+'Pricing sheet'!D54</f>
        <v>L</v>
      </c>
      <c r="E44" s="75">
        <f>+'Pricing sheet'!E54</f>
        <v>1</v>
      </c>
      <c r="F44" s="126">
        <f>+'Pricing sheet'!M54</f>
        <v>60.539250165333335</v>
      </c>
      <c r="G44" s="126">
        <f>+'Pricing sheet'!N54</f>
        <v>64.459250165333344</v>
      </c>
      <c r="H44" s="126">
        <f>+'Pricing sheet'!O54</f>
        <v>70.973060330666669</v>
      </c>
      <c r="I44" s="178">
        <f t="shared" si="4"/>
        <v>72</v>
      </c>
      <c r="S44" s="175" t="str">
        <f t="shared" si="0"/>
        <v/>
      </c>
      <c r="T44" s="175" t="str">
        <f t="shared" si="1"/>
        <v/>
      </c>
      <c r="U44" s="175" t="str">
        <f t="shared" si="2"/>
        <v/>
      </c>
      <c r="V44" s="175" t="str">
        <f t="shared" si="3"/>
        <v/>
      </c>
      <c r="X44" s="175">
        <f>+X36*2</f>
        <v>72</v>
      </c>
    </row>
    <row r="45" spans="1:24" s="120" customFormat="1" ht="21" customHeight="1" x14ac:dyDescent="0.25">
      <c r="A45" s="1" t="str">
        <f>+'Pricing sheet'!A55</f>
        <v>IT.2</v>
      </c>
      <c r="B45" s="75" t="str">
        <f>+'Pricing sheet'!B55</f>
        <v>PORTE PALIERE AUTOMATIQUE INOX ATERYA 70/80</v>
      </c>
      <c r="C45" s="75" t="str">
        <f>+'Pricing sheet'!C55</f>
        <v>PORTE</v>
      </c>
      <c r="D45" s="75" t="str">
        <f>+'Pricing sheet'!D55</f>
        <v>Pc</v>
      </c>
      <c r="E45" s="75">
        <f>+'Pricing sheet'!E55</f>
        <v>145</v>
      </c>
      <c r="F45" s="126">
        <f>+'Pricing sheet'!M55</f>
        <v>4498.4592039075806</v>
      </c>
      <c r="G45" s="126">
        <f>+'Pricing sheet'!N55</f>
        <v>4746.1479302128682</v>
      </c>
      <c r="H45" s="126">
        <f>+'Pricing sheet'!O55</f>
        <v>5158.0307789491817</v>
      </c>
      <c r="I45" s="178">
        <f t="shared" si="4"/>
        <v>69</v>
      </c>
      <c r="S45" s="175" t="str">
        <f t="shared" si="0"/>
        <v/>
      </c>
      <c r="T45" s="175" t="str">
        <f t="shared" si="1"/>
        <v/>
      </c>
      <c r="U45" s="175">
        <f t="shared" si="2"/>
        <v>5</v>
      </c>
      <c r="V45" s="175" t="str">
        <f t="shared" si="3"/>
        <v/>
      </c>
      <c r="X45" s="175">
        <f>+X43</f>
        <v>64</v>
      </c>
    </row>
    <row r="46" spans="1:24" s="120" customFormat="1" ht="21" customHeight="1" x14ac:dyDescent="0.25">
      <c r="A46" s="1" t="str">
        <f>+'Pricing sheet'!A56</f>
        <v>IT.3</v>
      </c>
      <c r="B46" s="75" t="str">
        <f>+'Pricing sheet'!B56</f>
        <v>PORTE PALIERE AUTOMATIQUE EPOXY ATERYA 70/80</v>
      </c>
      <c r="C46" s="75" t="str">
        <f>+'Pricing sheet'!C56</f>
        <v>PORTE</v>
      </c>
      <c r="D46" s="75" t="str">
        <f>+'Pricing sheet'!D56</f>
        <v>Pc</v>
      </c>
      <c r="E46" s="75">
        <f>+'Pricing sheet'!E56</f>
        <v>140</v>
      </c>
      <c r="F46" s="126">
        <f>+'Pricing sheet'!M56</f>
        <v>2818.751269437566</v>
      </c>
      <c r="G46" s="126">
        <f>+'Pricing sheet'!N56</f>
        <v>3001.2587519783042</v>
      </c>
      <c r="H46" s="126">
        <f>+'Pricing sheet'!O56</f>
        <v>3304.6918970394145</v>
      </c>
      <c r="I46" s="178">
        <f t="shared" si="4"/>
        <v>6</v>
      </c>
      <c r="S46" s="175" t="str">
        <f t="shared" si="0"/>
        <v/>
      </c>
      <c r="T46" s="175" t="str">
        <f t="shared" si="1"/>
        <v/>
      </c>
      <c r="U46" s="175" t="str">
        <f t="shared" si="2"/>
        <v/>
      </c>
      <c r="V46" s="175" t="str">
        <f t="shared" si="3"/>
        <v/>
      </c>
      <c r="X46" s="175">
        <v>6</v>
      </c>
    </row>
    <row r="47" spans="1:24" s="120" customFormat="1" ht="21" customHeight="1" x14ac:dyDescent="0.25">
      <c r="A47" s="1" t="str">
        <f>+'Pricing sheet'!A57</f>
        <v>IT.4</v>
      </c>
      <c r="B47" s="75" t="str">
        <f>+'Pricing sheet'!B57</f>
        <v>OPERATEUR INOX ATERYA 70/80</v>
      </c>
      <c r="C47" s="75" t="str">
        <f>+'Pricing sheet'!C57</f>
        <v>OPÉRATEUR</v>
      </c>
      <c r="D47" s="75" t="str">
        <f>+'Pricing sheet'!D57</f>
        <v>Pc</v>
      </c>
      <c r="E47" s="75">
        <f>+'Pricing sheet'!E57</f>
        <v>38</v>
      </c>
      <c r="F47" s="126">
        <f>+'Pricing sheet'!M57</f>
        <v>6342.6587637824141</v>
      </c>
      <c r="G47" s="126">
        <f>+'Pricing sheet'!N57</f>
        <v>6753.3005994990754</v>
      </c>
      <c r="H47" s="126">
        <f>+'Pricing sheet'!O57</f>
        <v>7436.4935834344633</v>
      </c>
      <c r="I47" s="178">
        <f t="shared" si="4"/>
        <v>118</v>
      </c>
      <c r="S47" s="175" t="str">
        <f t="shared" si="0"/>
        <v/>
      </c>
      <c r="T47" s="175" t="str">
        <f t="shared" si="1"/>
        <v/>
      </c>
      <c r="U47" s="175" t="str">
        <f t="shared" si="2"/>
        <v/>
      </c>
      <c r="V47" s="175">
        <f t="shared" si="3"/>
        <v>1</v>
      </c>
      <c r="X47" s="175">
        <f>IF(F2="GEARLESS",2*X36+(H2*5)+20,2*X36+(H2*5)+8)</f>
        <v>117</v>
      </c>
    </row>
    <row r="48" spans="1:24" s="120" customFormat="1" ht="21" customHeight="1" x14ac:dyDescent="0.25">
      <c r="A48" s="1" t="str">
        <f>+'Pricing sheet'!A58</f>
        <v>IT.5</v>
      </c>
      <c r="B48" s="75" t="str">
        <f>+'Pricing sheet'!B58</f>
        <v>SEMI AUTOMATIC PORTE EPOXY 70/80</v>
      </c>
      <c r="C48" s="75" t="str">
        <f>+'Pricing sheet'!C58</f>
        <v>PORTE</v>
      </c>
      <c r="D48" s="75" t="str">
        <f>+'Pricing sheet'!D58</f>
        <v>Pc</v>
      </c>
      <c r="E48" s="75">
        <f>+'Pricing sheet'!E58</f>
        <v>90</v>
      </c>
      <c r="F48" s="126">
        <f>+'Pricing sheet'!M58</f>
        <v>1683.5153708666667</v>
      </c>
      <c r="G48" s="126">
        <f>+'Pricing sheet'!N58</f>
        <v>1791.3153708666669</v>
      </c>
      <c r="H48" s="126">
        <f>+'Pricing sheet'!O58</f>
        <v>1970.5011417333333</v>
      </c>
      <c r="I48" s="178">
        <f t="shared" si="4"/>
        <v>8</v>
      </c>
      <c r="S48" s="175" t="str">
        <f t="shared" si="0"/>
        <v/>
      </c>
      <c r="T48" s="175" t="str">
        <f t="shared" si="1"/>
        <v/>
      </c>
      <c r="U48" s="175" t="str">
        <f t="shared" si="2"/>
        <v/>
      </c>
      <c r="V48" s="175" t="str">
        <f t="shared" si="3"/>
        <v/>
      </c>
      <c r="X48" s="175">
        <f>+(INT((H2+1)*3*2/5)+1)</f>
        <v>8</v>
      </c>
    </row>
    <row r="49" spans="1:29" s="120" customFormat="1" ht="21" customHeight="1" x14ac:dyDescent="0.25">
      <c r="A49" s="1" t="str">
        <f>+'Pricing sheet'!A59</f>
        <v>IT.6</v>
      </c>
      <c r="B49" s="75" t="str">
        <f>+'Pricing sheet'!B59</f>
        <v>SEMI AUTOMATIC PORTE INOX 70/80</v>
      </c>
      <c r="C49" s="75" t="str">
        <f>+'Pricing sheet'!C59</f>
        <v>PORTE</v>
      </c>
      <c r="D49" s="75" t="str">
        <f>+'Pricing sheet'!D59</f>
        <v>Pc</v>
      </c>
      <c r="E49" s="75">
        <f>+'Pricing sheet'!E59</f>
        <v>90</v>
      </c>
      <c r="F49" s="126">
        <f>+'Pricing sheet'!M59</f>
        <v>2175.5903708666665</v>
      </c>
      <c r="G49" s="126">
        <f>+'Pricing sheet'!N59</f>
        <v>2283.3903708666667</v>
      </c>
      <c r="H49" s="126">
        <f>+'Pricing sheet'!O59</f>
        <v>2462.5761417333333</v>
      </c>
      <c r="I49" s="178">
        <f t="shared" si="4"/>
        <v>8</v>
      </c>
      <c r="S49" s="175" t="str">
        <f t="shared" si="0"/>
        <v/>
      </c>
      <c r="T49" s="175" t="str">
        <f t="shared" si="1"/>
        <v/>
      </c>
      <c r="U49" s="175" t="str">
        <f t="shared" si="2"/>
        <v/>
      </c>
      <c r="V49" s="175" t="str">
        <f t="shared" si="3"/>
        <v/>
      </c>
      <c r="X49" s="175">
        <f>+IF(G2&gt;8,"",X48)</f>
        <v>8</v>
      </c>
    </row>
    <row r="50" spans="1:29" s="120" customFormat="1" ht="21" customHeight="1" x14ac:dyDescent="0.25">
      <c r="A50" s="1" t="str">
        <f>+'Pricing sheet'!A60</f>
        <v>IT.7</v>
      </c>
      <c r="B50" s="75" t="str">
        <f>+'Pricing sheet'!B60</f>
        <v>SERRURE (DOOR LOCK)</v>
      </c>
      <c r="C50" s="75" t="str">
        <f>+'Pricing sheet'!C60</f>
        <v>AUTRES</v>
      </c>
      <c r="D50" s="75" t="str">
        <f>+'Pricing sheet'!D60</f>
        <v>Pc</v>
      </c>
      <c r="E50" s="75">
        <f>+'Pricing sheet'!E60</f>
        <v>3</v>
      </c>
      <c r="F50" s="126">
        <f>+'Pricing sheet'!M60</f>
        <v>272.42783584800003</v>
      </c>
      <c r="G50" s="126">
        <f>+'Pricing sheet'!N60</f>
        <v>290.06783584800002</v>
      </c>
      <c r="H50" s="126">
        <f>+'Pricing sheet'!O60</f>
        <v>319.38119169599997</v>
      </c>
      <c r="I50" s="178" t="str">
        <f t="shared" si="4"/>
        <v/>
      </c>
      <c r="S50" s="175" t="str">
        <f t="shared" si="0"/>
        <v/>
      </c>
      <c r="T50" s="175" t="str">
        <f t="shared" si="1"/>
        <v/>
      </c>
      <c r="U50" s="175" t="str">
        <f t="shared" si="2"/>
        <v/>
      </c>
      <c r="V50" s="175" t="str">
        <f t="shared" si="3"/>
        <v/>
      </c>
    </row>
    <row r="51" spans="1:29" s="120" customFormat="1" ht="21" customHeight="1" x14ac:dyDescent="0.25">
      <c r="A51" s="1" t="str">
        <f>+'Pricing sheet'!A61</f>
        <v>IT.8</v>
      </c>
      <c r="B51" s="75" t="str">
        <f>+'Pricing sheet'!B61</f>
        <v>CAME DC 220V / 60V</v>
      </c>
      <c r="C51" s="75" t="str">
        <f>+'Pricing sheet'!C61</f>
        <v>AUTRES</v>
      </c>
      <c r="D51" s="75" t="str">
        <f>+'Pricing sheet'!D61</f>
        <v>Pc</v>
      </c>
      <c r="E51" s="75">
        <f>+'Pricing sheet'!E61</f>
        <v>4</v>
      </c>
      <c r="F51" s="126">
        <f>+'Pricing sheet'!M61</f>
        <v>665.94020333866672</v>
      </c>
      <c r="G51" s="126">
        <f>+'Pricing sheet'!N61</f>
        <v>709.06020333866672</v>
      </c>
      <c r="H51" s="126">
        <f>+'Pricing sheet'!O61</f>
        <v>780.72056667733341</v>
      </c>
      <c r="I51" s="178" t="str">
        <f t="shared" si="4"/>
        <v/>
      </c>
      <c r="S51" s="175" t="str">
        <f t="shared" si="0"/>
        <v/>
      </c>
      <c r="T51" s="175" t="str">
        <f t="shared" si="1"/>
        <v/>
      </c>
      <c r="U51" s="175" t="str">
        <f t="shared" si="2"/>
        <v/>
      </c>
      <c r="V51" s="175" t="str">
        <f t="shared" si="3"/>
        <v/>
      </c>
      <c r="X51" s="175" t="str">
        <f>+IF(G2&lt;=8,"",X48)</f>
        <v/>
      </c>
    </row>
    <row r="52" spans="1:29" s="120" customFormat="1" ht="21" customHeight="1" x14ac:dyDescent="0.25">
      <c r="A52" s="1" t="str">
        <f>+'Pricing sheet'!A62</f>
        <v>IT.9</v>
      </c>
      <c r="B52" s="75" t="str">
        <f>+'Pricing sheet'!B62</f>
        <v>DICTATOR</v>
      </c>
      <c r="C52" s="75" t="str">
        <f>+'Pricing sheet'!C62</f>
        <v>AUTRES</v>
      </c>
      <c r="D52" s="75" t="str">
        <f>+'Pricing sheet'!D62</f>
        <v>Pc</v>
      </c>
      <c r="E52" s="75">
        <f>+'Pricing sheet'!E62</f>
        <v>2</v>
      </c>
      <c r="F52" s="126">
        <f>+'Pricing sheet'!M62</f>
        <v>102.91681671114668</v>
      </c>
      <c r="G52" s="126">
        <f>+'Pricing sheet'!N62</f>
        <v>109.58081671114667</v>
      </c>
      <c r="H52" s="126">
        <f>+'Pricing sheet'!O62</f>
        <v>120.65438542229333</v>
      </c>
      <c r="I52" s="178" t="str">
        <f t="shared" si="4"/>
        <v/>
      </c>
      <c r="S52" s="175" t="str">
        <f t="shared" si="0"/>
        <v/>
      </c>
      <c r="T52" s="175" t="str">
        <f t="shared" si="1"/>
        <v/>
      </c>
      <c r="U52" s="175" t="str">
        <f t="shared" si="2"/>
        <v/>
      </c>
      <c r="V52" s="175" t="str">
        <f t="shared" si="3"/>
        <v/>
      </c>
    </row>
    <row r="53" spans="1:29" s="120" customFormat="1" ht="21" customHeight="1" x14ac:dyDescent="0.25">
      <c r="A53" s="1" t="str">
        <f>+'Pricing sheet'!A63</f>
        <v>IT.10</v>
      </c>
      <c r="B53" s="75" t="str">
        <f>+'Pricing sheet'!B63</f>
        <v>MOTEUR AKİŞ VOLPİ GEARLESS 3,9KW MAX4 MAX6 240*5*6,5MM 1,0M/S VVVF +ENCODEUR</v>
      </c>
      <c r="C53" s="75" t="str">
        <f>+'Pricing sheet'!C63</f>
        <v>MOTEUR</v>
      </c>
      <c r="D53" s="75" t="str">
        <f>+'Pricing sheet'!D63</f>
        <v>Pc</v>
      </c>
      <c r="E53" s="75">
        <f>+'Pricing sheet'!E63</f>
        <v>180</v>
      </c>
      <c r="F53" s="126">
        <f>+'Pricing sheet'!M63</f>
        <v>15442.4852008</v>
      </c>
      <c r="G53" s="126">
        <f>+'Pricing sheet'!N63</f>
        <v>16442.0852008</v>
      </c>
      <c r="H53" s="126">
        <f>+'Pricing sheet'!O63</f>
        <v>18108.083201599999</v>
      </c>
      <c r="I53" s="178" t="str">
        <f t="shared" si="4"/>
        <v/>
      </c>
      <c r="S53" s="175" t="str">
        <f t="shared" si="0"/>
        <v/>
      </c>
      <c r="T53" s="175" t="str">
        <f t="shared" si="1"/>
        <v/>
      </c>
      <c r="U53" s="175" t="str">
        <f t="shared" si="2"/>
        <v/>
      </c>
      <c r="V53" s="175" t="str">
        <f t="shared" si="3"/>
        <v/>
      </c>
      <c r="Y53" s="175" t="str">
        <f>+IF(F2="GEARLESS","",IF(G2&lt;=4,4*(H2*3+3+5),5*(H2*3+3+5)))</f>
        <v/>
      </c>
    </row>
    <row r="54" spans="1:29" s="120" customFormat="1" ht="21" customHeight="1" x14ac:dyDescent="0.25">
      <c r="A54" s="1" t="str">
        <f>+'Pricing sheet'!A64</f>
        <v>IT.11</v>
      </c>
      <c r="B54" s="75" t="str">
        <f>+'Pricing sheet'!B64</f>
        <v>MOTEUR AKİŞ VOLPİ GEARLESS 4,9KW MAX8 MAX10 240*7*6,5MM 1,0M/S VVVF +ENCODEUR</v>
      </c>
      <c r="C54" s="75" t="str">
        <f>+'Pricing sheet'!C64</f>
        <v>MOTEUR</v>
      </c>
      <c r="D54" s="75" t="str">
        <f>+'Pricing sheet'!D64</f>
        <v>Pc</v>
      </c>
      <c r="E54" s="75">
        <f>+'Pricing sheet'!E64</f>
        <v>240</v>
      </c>
      <c r="F54" s="126">
        <f>+'Pricing sheet'!M64</f>
        <v>16336.032691948669</v>
      </c>
      <c r="G54" s="126">
        <f>+'Pricing sheet'!N64</f>
        <v>17393.452691948667</v>
      </c>
      <c r="H54" s="126">
        <f>+'Pricing sheet'!O64</f>
        <v>19156.122943897335</v>
      </c>
      <c r="I54" s="178">
        <f t="shared" si="4"/>
        <v>247</v>
      </c>
      <c r="S54" s="175" t="str">
        <f t="shared" si="0"/>
        <v/>
      </c>
      <c r="T54" s="175">
        <f t="shared" si="1"/>
        <v>1</v>
      </c>
      <c r="U54" s="175" t="str">
        <f t="shared" si="2"/>
        <v/>
      </c>
      <c r="V54" s="175" t="str">
        <f t="shared" si="3"/>
        <v/>
      </c>
      <c r="Y54" s="175">
        <f>+IF(F2="GEARLESS",IF(G2&lt;=5,G2*(2*(H2*3+3)+5),(G2-1*INT((G2-4)/2))*(2*(H2*3+3)+5)),"")</f>
        <v>246</v>
      </c>
    </row>
    <row r="55" spans="1:29" s="120" customFormat="1" ht="21" customHeight="1" x14ac:dyDescent="0.25">
      <c r="A55" s="1" t="str">
        <f>+'Pricing sheet'!A65</f>
        <v>IT.12</v>
      </c>
      <c r="B55" s="75" t="str">
        <f>+'Pricing sheet'!B65</f>
        <v>MOTEUR AKİŞ 2V MAX4 MAX6</v>
      </c>
      <c r="C55" s="75" t="str">
        <f>+'Pricing sheet'!C65</f>
        <v>MOTEUR</v>
      </c>
      <c r="D55" s="75" t="str">
        <f>+'Pricing sheet'!D65</f>
        <v>Pc</v>
      </c>
      <c r="E55" s="75">
        <f>+'Pricing sheet'!E65</f>
        <v>320</v>
      </c>
      <c r="F55" s="126">
        <f>+'Pricing sheet'!M65</f>
        <v>15139.595333333335</v>
      </c>
      <c r="G55" s="126">
        <f>+'Pricing sheet'!N65</f>
        <v>16119.595333333335</v>
      </c>
      <c r="H55" s="126">
        <f>+'Pricing sheet'!O65</f>
        <v>17752.830666666669</v>
      </c>
      <c r="I55" s="178">
        <f t="shared" si="4"/>
        <v>33</v>
      </c>
      <c r="S55" s="175" t="str">
        <f t="shared" si="0"/>
        <v/>
      </c>
      <c r="T55" s="175" t="str">
        <f t="shared" si="1"/>
        <v/>
      </c>
      <c r="U55" s="175" t="str">
        <f t="shared" si="2"/>
        <v/>
      </c>
      <c r="V55" s="175" t="str">
        <f t="shared" si="3"/>
        <v/>
      </c>
      <c r="Y55" s="175">
        <f>+(H2*3*2+3)</f>
        <v>33</v>
      </c>
    </row>
    <row r="56" spans="1:29" s="120" customFormat="1" ht="21" customHeight="1" x14ac:dyDescent="0.25">
      <c r="A56" s="1" t="str">
        <f>+'Pricing sheet'!A66</f>
        <v>IT.13</v>
      </c>
      <c r="B56" s="75" t="str">
        <f>+'Pricing sheet'!B66</f>
        <v>MOTEUR AKİŞ 2V MAX8</v>
      </c>
      <c r="C56" s="75" t="str">
        <f>+'Pricing sheet'!C66</f>
        <v>MOTEUR</v>
      </c>
      <c r="D56" s="75" t="str">
        <f>+'Pricing sheet'!D66</f>
        <v>Pc</v>
      </c>
      <c r="E56" s="75">
        <f>+'Pricing sheet'!E66</f>
        <v>380</v>
      </c>
      <c r="F56" s="126">
        <f>+'Pricing sheet'!M66</f>
        <v>16199.726676466667</v>
      </c>
      <c r="G56" s="126">
        <f>+'Pricing sheet'!N66</f>
        <v>17248.326676466666</v>
      </c>
      <c r="H56" s="126">
        <f>+'Pricing sheet'!O66</f>
        <v>18996.248152933334</v>
      </c>
      <c r="I56" s="178" t="str">
        <f t="shared" si="4"/>
        <v/>
      </c>
      <c r="S56" s="175" t="str">
        <f t="shared" si="0"/>
        <v/>
      </c>
      <c r="T56" s="175" t="str">
        <f t="shared" si="1"/>
        <v/>
      </c>
      <c r="U56" s="175" t="str">
        <f t="shared" si="2"/>
        <v/>
      </c>
      <c r="V56" s="175" t="str">
        <f t="shared" si="3"/>
        <v/>
      </c>
      <c r="Y56" s="175" t="str">
        <f>+IF(F2="GEARLESS","",IF(G2&lt;=4,4*2,5*2))</f>
        <v/>
      </c>
    </row>
    <row r="57" spans="1:29" s="120" customFormat="1" ht="21" customHeight="1" x14ac:dyDescent="0.25">
      <c r="A57" s="1" t="str">
        <f>+'Pricing sheet'!A67</f>
        <v>IT.14</v>
      </c>
      <c r="B57" s="75" t="str">
        <f>+'Pricing sheet'!B67</f>
        <v>CLASSIC BRACKET 60X60 (PATE)</v>
      </c>
      <c r="C57" s="75" t="str">
        <f>+'Pricing sheet'!C67</f>
        <v>RAILS &amp; ACCESSOIRES</v>
      </c>
      <c r="D57" s="75" t="str">
        <f>+'Pricing sheet'!D67</f>
        <v>Pc</v>
      </c>
      <c r="E57" s="75">
        <f>+'Pricing sheet'!E67</f>
        <v>0.5</v>
      </c>
      <c r="F57" s="126">
        <f>+'Pricing sheet'!M67</f>
        <v>9.2064277287199996</v>
      </c>
      <c r="G57" s="126">
        <f>+'Pricing sheet'!N67</f>
        <v>9.7944277287199988</v>
      </c>
      <c r="H57" s="126">
        <f>+'Pricing sheet'!O67</f>
        <v>10.77148945744</v>
      </c>
      <c r="I57" s="178">
        <f t="shared" si="4"/>
        <v>12</v>
      </c>
      <c r="S57" s="175" t="str">
        <f t="shared" si="0"/>
        <v/>
      </c>
      <c r="T57" s="175" t="str">
        <f t="shared" si="1"/>
        <v/>
      </c>
      <c r="U57" s="175" t="str">
        <f t="shared" si="2"/>
        <v/>
      </c>
      <c r="V57" s="175" t="str">
        <f t="shared" si="3"/>
        <v/>
      </c>
      <c r="Y57" s="175">
        <f>+IF(F2="GEARLESS",IF(G2&lt;=5,G2*2,(G2-1*INT((G2-4)/2))*2),"")</f>
        <v>12</v>
      </c>
    </row>
    <row r="58" spans="1:29" s="120" customFormat="1" ht="21" customHeight="1" x14ac:dyDescent="0.25">
      <c r="A58" s="1" t="str">
        <f>+'Pricing sheet'!A68</f>
        <v>IT.15</v>
      </c>
      <c r="B58" s="75" t="str">
        <f>+'Pricing sheet'!B68</f>
        <v>CLASSIC BRACKET 60X80  (PATE)</v>
      </c>
      <c r="C58" s="75" t="str">
        <f>+'Pricing sheet'!C68</f>
        <v>RAILS &amp; ACCESSOIRES</v>
      </c>
      <c r="D58" s="75" t="str">
        <f>+'Pricing sheet'!D68</f>
        <v>Pc</v>
      </c>
      <c r="E58" s="75">
        <f>+'Pricing sheet'!E68</f>
        <v>0.65</v>
      </c>
      <c r="F58" s="126">
        <f>+'Pricing sheet'!M68</f>
        <v>13.62131788962</v>
      </c>
      <c r="G58" s="126">
        <f>+'Pricing sheet'!N68</f>
        <v>14.50331788962</v>
      </c>
      <c r="H58" s="126">
        <f>+'Pricing sheet'!O68</f>
        <v>15.968911779239999</v>
      </c>
      <c r="I58" s="178" t="str">
        <f t="shared" si="4"/>
        <v/>
      </c>
      <c r="S58" s="175" t="str">
        <f t="shared" si="0"/>
        <v/>
      </c>
      <c r="T58" s="175" t="str">
        <f t="shared" si="1"/>
        <v/>
      </c>
      <c r="U58" s="175" t="str">
        <f t="shared" si="2"/>
        <v/>
      </c>
      <c r="V58" s="175" t="str">
        <f t="shared" si="3"/>
        <v/>
      </c>
      <c r="Y58" s="175" t="str">
        <f>+IF(F2="GEARLESS","",Y56*3)</f>
        <v/>
      </c>
    </row>
    <row r="59" spans="1:29" s="120" customFormat="1" ht="21" customHeight="1" x14ac:dyDescent="0.25">
      <c r="A59" s="1" t="str">
        <f>+'Pricing sheet'!A69</f>
        <v>IT.16</v>
      </c>
      <c r="B59" s="75" t="str">
        <f>+'Pricing sheet'!B69</f>
        <v>CROMPO 50</v>
      </c>
      <c r="C59" s="75" t="str">
        <f>+'Pricing sheet'!C69</f>
        <v>RAILS &amp; ACCESSOIRES</v>
      </c>
      <c r="D59" s="75" t="str">
        <f>+'Pricing sheet'!D69</f>
        <v>Pc</v>
      </c>
      <c r="E59" s="75">
        <f>+'Pricing sheet'!E69</f>
        <v>0.11</v>
      </c>
      <c r="F59" s="126">
        <f>+'Pricing sheet'!M69</f>
        <v>4.2377425098101336</v>
      </c>
      <c r="G59" s="126">
        <f>+'Pricing sheet'!N69</f>
        <v>4.5121425098101335</v>
      </c>
      <c r="H59" s="126">
        <f>+'Pricing sheet'!O69</f>
        <v>4.968104219620268</v>
      </c>
      <c r="I59" s="178">
        <f t="shared" si="4"/>
        <v>36</v>
      </c>
      <c r="S59" s="175" t="str">
        <f t="shared" si="0"/>
        <v/>
      </c>
      <c r="T59" s="175" t="str">
        <f t="shared" si="1"/>
        <v/>
      </c>
      <c r="U59" s="175" t="str">
        <f t="shared" si="2"/>
        <v/>
      </c>
      <c r="V59" s="175" t="str">
        <f t="shared" si="3"/>
        <v/>
      </c>
      <c r="Y59" s="175">
        <f>+IF(F2="GEARLESS",Y57*3,"")</f>
        <v>36</v>
      </c>
    </row>
    <row r="60" spans="1:29" s="120" customFormat="1" ht="21" customHeight="1" x14ac:dyDescent="0.25">
      <c r="A60" s="1" t="str">
        <f>+'Pricing sheet'!A70</f>
        <v>IT.17</v>
      </c>
      <c r="B60" s="75" t="str">
        <f>+'Pricing sheet'!B70</f>
        <v>CROMPO 70</v>
      </c>
      <c r="C60" s="75" t="str">
        <f>+'Pricing sheet'!C70</f>
        <v>RAILS &amp; ACCESSOIRES</v>
      </c>
      <c r="D60" s="75" t="str">
        <f>+'Pricing sheet'!D70</f>
        <v>Pc</v>
      </c>
      <c r="E60" s="75">
        <f>+'Pricing sheet'!E70</f>
        <v>0.12</v>
      </c>
      <c r="F60" s="126">
        <f>+'Pricing sheet'!M70</f>
        <v>5.5998741907271334</v>
      </c>
      <c r="G60" s="126">
        <f>+'Pricing sheet'!N70</f>
        <v>5.962474190727133</v>
      </c>
      <c r="H60" s="126">
        <f>+'Pricing sheet'!O70</f>
        <v>6.5649951814542673</v>
      </c>
      <c r="I60" s="178">
        <f t="shared" si="4"/>
        <v>6</v>
      </c>
      <c r="S60" s="175" t="str">
        <f t="shared" si="0"/>
        <v/>
      </c>
      <c r="T60" s="175" t="str">
        <f t="shared" si="1"/>
        <v/>
      </c>
      <c r="U60" s="175" t="str">
        <f t="shared" si="2"/>
        <v/>
      </c>
      <c r="V60" s="175" t="str">
        <f t="shared" si="3"/>
        <v/>
      </c>
      <c r="Y60" s="175">
        <v>6</v>
      </c>
    </row>
    <row r="61" spans="1:29" s="120" customFormat="1" ht="21" customHeight="1" x14ac:dyDescent="0.25">
      <c r="A61" s="1" t="str">
        <f>+'Pricing sheet'!A71</f>
        <v>IT.18</v>
      </c>
      <c r="B61" s="75" t="str">
        <f>+'Pricing sheet'!B71</f>
        <v>SET BRACKET U</v>
      </c>
      <c r="C61" s="75" t="str">
        <f>+'Pricing sheet'!C71</f>
        <v>RAILS &amp; ACCESSOIRES</v>
      </c>
      <c r="D61" s="75" t="str">
        <f>+'Pricing sheet'!D71</f>
        <v>SET</v>
      </c>
      <c r="E61" s="75">
        <f>+'Pricing sheet'!E71</f>
        <v>30</v>
      </c>
      <c r="F61" s="126">
        <f>+'Pricing sheet'!M71</f>
        <v>606.06614911666668</v>
      </c>
      <c r="G61" s="126">
        <f>+'Pricing sheet'!N71</f>
        <v>640.36614911666663</v>
      </c>
      <c r="H61" s="126">
        <f>+'Pricing sheet'!O71</f>
        <v>697.36719823333328</v>
      </c>
      <c r="I61" s="178" t="str">
        <f t="shared" si="4"/>
        <v/>
      </c>
      <c r="S61" s="175" t="str">
        <f t="shared" si="0"/>
        <v/>
      </c>
      <c r="T61" s="175" t="str">
        <f t="shared" si="1"/>
        <v/>
      </c>
      <c r="U61" s="175" t="str">
        <f t="shared" si="2"/>
        <v/>
      </c>
      <c r="V61" s="175" t="str">
        <f t="shared" si="3"/>
        <v/>
      </c>
    </row>
    <row r="62" spans="1:29" s="120" customFormat="1" ht="21" customHeight="1" x14ac:dyDescent="0.25">
      <c r="A62" s="1" t="str">
        <f>+'Pricing sheet'!A72</f>
        <v>IT.19</v>
      </c>
      <c r="B62" s="75" t="str">
        <f>+'Pricing sheet'!B72</f>
        <v>CROMPO 90</v>
      </c>
      <c r="C62" s="75" t="str">
        <f>+'Pricing sheet'!C72</f>
        <v>RAILS &amp; ACCESSOIRES</v>
      </c>
      <c r="D62" s="75" t="str">
        <f>+'Pricing sheet'!D72</f>
        <v>Pc</v>
      </c>
      <c r="E62" s="75">
        <f>+'Pricing sheet'!E72</f>
        <v>0.17</v>
      </c>
      <c r="F62" s="126">
        <f>+'Pricing sheet'!M72</f>
        <v>7.1133539274284656</v>
      </c>
      <c r="G62" s="126">
        <f>+'Pricing sheet'!N72</f>
        <v>7.573953927428466</v>
      </c>
      <c r="H62" s="126">
        <f>+'Pricing sheet'!O72</f>
        <v>8.3393186548569336</v>
      </c>
      <c r="I62" s="178">
        <f t="shared" si="4"/>
        <v>4</v>
      </c>
      <c r="S62" s="175" t="str">
        <f t="shared" si="0"/>
        <v/>
      </c>
      <c r="T62" s="175" t="str">
        <f t="shared" si="1"/>
        <v/>
      </c>
      <c r="U62" s="175" t="str">
        <f t="shared" si="2"/>
        <v/>
      </c>
      <c r="V62" s="175" t="str">
        <f t="shared" si="3"/>
        <v/>
      </c>
      <c r="AC62" s="175">
        <v>4</v>
      </c>
    </row>
    <row r="63" spans="1:29" s="120" customFormat="1" ht="21" customHeight="1" x14ac:dyDescent="0.25">
      <c r="A63" s="1" t="str">
        <f>+'Pricing sheet'!A73</f>
        <v>IT.20</v>
      </c>
      <c r="B63" s="75" t="str">
        <f>+'Pricing sheet'!B73</f>
        <v>SET BRACKET TYPE L</v>
      </c>
      <c r="C63" s="75" t="str">
        <f>+'Pricing sheet'!C73</f>
        <v>RAILS &amp; ACCESSOIRES</v>
      </c>
      <c r="D63" s="75" t="str">
        <f>+'Pricing sheet'!D73</f>
        <v>SET</v>
      </c>
      <c r="E63" s="75">
        <f>+'Pricing sheet'!E73</f>
        <v>30</v>
      </c>
      <c r="F63" s="126">
        <f>+'Pricing sheet'!M73</f>
        <v>803.3266716666667</v>
      </c>
      <c r="G63" s="126">
        <f>+'Pricing sheet'!N73</f>
        <v>852.3266716666667</v>
      </c>
      <c r="H63" s="126">
        <f>+'Pricing sheet'!O73</f>
        <v>933.76034333333337</v>
      </c>
      <c r="I63" s="178">
        <f t="shared" si="4"/>
        <v>2</v>
      </c>
      <c r="S63" s="175" t="str">
        <f t="shared" si="0"/>
        <v/>
      </c>
      <c r="T63" s="175" t="str">
        <f t="shared" si="1"/>
        <v/>
      </c>
      <c r="U63" s="175" t="str">
        <f t="shared" si="2"/>
        <v/>
      </c>
      <c r="V63" s="175" t="str">
        <f t="shared" si="3"/>
        <v/>
      </c>
      <c r="AC63" s="175">
        <v>2</v>
      </c>
    </row>
    <row r="64" spans="1:29" s="120" customFormat="1" ht="21" customHeight="1" x14ac:dyDescent="0.25">
      <c r="A64" s="1" t="str">
        <f>+'Pricing sheet'!A74</f>
        <v>IT.21</v>
      </c>
      <c r="B64" s="75" t="str">
        <f>+'Pricing sheet'!B74</f>
        <v>BOULON 8/30</v>
      </c>
      <c r="C64" s="75" t="str">
        <f>+'Pricing sheet'!C74</f>
        <v>RAILS &amp; ACCESSOIRES</v>
      </c>
      <c r="D64" s="75" t="str">
        <f>+'Pricing sheet'!D74</f>
        <v>Pc</v>
      </c>
      <c r="E64" s="75">
        <f>+'Pricing sheet'!E74</f>
        <v>0.02</v>
      </c>
      <c r="F64" s="126">
        <f>+'Pricing sheet'!M74</f>
        <v>1.0594355568631335</v>
      </c>
      <c r="G64" s="126">
        <f>+'Pricing sheet'!N74</f>
        <v>1.1280355568631335</v>
      </c>
      <c r="H64" s="126">
        <f>+'Pricing sheet'!O74</f>
        <v>1.242025913726267</v>
      </c>
      <c r="I64" s="178" t="str">
        <f t="shared" si="4"/>
        <v/>
      </c>
      <c r="S64" s="175" t="str">
        <f t="shared" si="0"/>
        <v/>
      </c>
      <c r="T64" s="175" t="str">
        <f t="shared" si="1"/>
        <v/>
      </c>
      <c r="U64" s="175" t="str">
        <f t="shared" si="2"/>
        <v/>
      </c>
      <c r="V64" s="175" t="str">
        <f t="shared" si="3"/>
        <v/>
      </c>
    </row>
    <row r="65" spans="1:29" s="120" customFormat="1" ht="21" customHeight="1" x14ac:dyDescent="0.25">
      <c r="A65" s="1" t="str">
        <f>+'Pricing sheet'!A75</f>
        <v>IT.22</v>
      </c>
      <c r="B65" s="75" t="str">
        <f>+'Pricing sheet'!B75</f>
        <v>BOULON 12/25</v>
      </c>
      <c r="C65" s="75" t="str">
        <f>+'Pricing sheet'!C75</f>
        <v>RAILS &amp; ACCESSOIRES</v>
      </c>
      <c r="D65" s="75" t="str">
        <f>+'Pricing sheet'!D75</f>
        <v>Pc</v>
      </c>
      <c r="E65" s="75">
        <f>+'Pricing sheet'!E75</f>
        <v>0.04</v>
      </c>
      <c r="F65" s="126">
        <f>+'Pricing sheet'!M75</f>
        <v>2.7242629555847997</v>
      </c>
      <c r="G65" s="126">
        <f>+'Pricing sheet'!N75</f>
        <v>2.9006629555847998</v>
      </c>
      <c r="H65" s="126">
        <f>+'Pricing sheet'!O75</f>
        <v>3.1937811111696002</v>
      </c>
      <c r="I65" s="178" t="str">
        <f t="shared" si="4"/>
        <v/>
      </c>
      <c r="S65" s="175" t="str">
        <f t="shared" si="0"/>
        <v/>
      </c>
      <c r="T65" s="175" t="str">
        <f t="shared" si="1"/>
        <v/>
      </c>
      <c r="U65" s="175" t="str">
        <f t="shared" si="2"/>
        <v/>
      </c>
      <c r="V65" s="175" t="str">
        <f t="shared" si="3"/>
        <v/>
      </c>
    </row>
    <row r="66" spans="1:29" s="120" customFormat="1" ht="21" customHeight="1" x14ac:dyDescent="0.25">
      <c r="A66" s="1" t="str">
        <f>+'Pricing sheet'!A76</f>
        <v>IT.23</v>
      </c>
      <c r="B66" s="75" t="str">
        <f>+'Pricing sheet'!B76</f>
        <v>BOULON 12/40</v>
      </c>
      <c r="C66" s="75" t="str">
        <f>+'Pricing sheet'!C76</f>
        <v>RAILS &amp; ACCESSOIRES</v>
      </c>
      <c r="D66" s="75" t="str">
        <f>+'Pricing sheet'!D76</f>
        <v>Pc</v>
      </c>
      <c r="E66" s="75">
        <f>+'Pricing sheet'!E76</f>
        <v>0.05</v>
      </c>
      <c r="F66" s="126">
        <f>+'Pricing sheet'!M76</f>
        <v>3.0269588587466671</v>
      </c>
      <c r="G66" s="126">
        <f>+'Pricing sheet'!N76</f>
        <v>3.2229588587466669</v>
      </c>
      <c r="H66" s="126">
        <f>+'Pricing sheet'!O76</f>
        <v>3.5486457174933337</v>
      </c>
      <c r="I66" s="178" t="str">
        <f t="shared" si="4"/>
        <v/>
      </c>
      <c r="S66" s="175" t="str">
        <f t="shared" si="0"/>
        <v/>
      </c>
      <c r="T66" s="175" t="str">
        <f t="shared" si="1"/>
        <v/>
      </c>
      <c r="U66" s="175" t="str">
        <f t="shared" si="2"/>
        <v/>
      </c>
      <c r="V66" s="175" t="str">
        <f t="shared" si="3"/>
        <v/>
      </c>
    </row>
    <row r="67" spans="1:29" s="120" customFormat="1" ht="21" customHeight="1" x14ac:dyDescent="0.25">
      <c r="A67" s="1" t="str">
        <f>+'Pricing sheet'!A77</f>
        <v>IT.24</v>
      </c>
      <c r="B67" s="75" t="str">
        <f>+'Pricing sheet'!B77</f>
        <v>BOULON 14/70</v>
      </c>
      <c r="C67" s="75" t="str">
        <f>+'Pricing sheet'!C77</f>
        <v>RAILS &amp; ACCESSOIRES</v>
      </c>
      <c r="D67" s="75" t="str">
        <f>+'Pricing sheet'!D77</f>
        <v>Pc</v>
      </c>
      <c r="E67" s="75">
        <f>+'Pricing sheet'!E77</f>
        <v>0</v>
      </c>
      <c r="F67" s="126">
        <f>+'Pricing sheet'!M77</f>
        <v>4.5404384321800002</v>
      </c>
      <c r="G67" s="126">
        <f>+'Pricing sheet'!N77</f>
        <v>4.8344384321799998</v>
      </c>
      <c r="H67" s="126">
        <f>+'Pricing sheet'!O77</f>
        <v>5.3229688643599999</v>
      </c>
      <c r="I67" s="178" t="str">
        <f t="shared" si="4"/>
        <v/>
      </c>
      <c r="S67" s="175" t="str">
        <f t="shared" si="0"/>
        <v/>
      </c>
      <c r="T67" s="175" t="str">
        <f t="shared" si="1"/>
        <v/>
      </c>
      <c r="U67" s="175" t="str">
        <f t="shared" si="2"/>
        <v/>
      </c>
      <c r="V67" s="175" t="str">
        <f t="shared" si="3"/>
        <v/>
      </c>
      <c r="AC67" s="175" t="str">
        <f>+IF(AND(I2&lt;&gt;"AKİŞ",F2&lt;&gt;"GEARLESS"),1,"")</f>
        <v/>
      </c>
    </row>
    <row r="68" spans="1:29" s="120" customFormat="1" ht="21" customHeight="1" x14ac:dyDescent="0.25">
      <c r="A68" s="1" t="str">
        <f>+'Pricing sheet'!A78</f>
        <v>IT.25</v>
      </c>
      <c r="B68" s="75" t="str">
        <f>+'Pricing sheet'!B78</f>
        <v>CHEVEILLE 12/100</v>
      </c>
      <c r="C68" s="75" t="str">
        <f>+'Pricing sheet'!C78</f>
        <v>RAILS &amp; ACCESSOIRES</v>
      </c>
      <c r="D68" s="75" t="str">
        <f>+'Pricing sheet'!D78</f>
        <v>Pc</v>
      </c>
      <c r="E68" s="75">
        <f>+'Pricing sheet'!E78</f>
        <v>0.09</v>
      </c>
      <c r="F68" s="126">
        <f>+'Pricing sheet'!M78</f>
        <v>3.1989618117682004</v>
      </c>
      <c r="G68" s="126">
        <f>+'Pricing sheet'!N78</f>
        <v>3.4047618117682004</v>
      </c>
      <c r="H68" s="126">
        <f>+'Pricing sheet'!O78</f>
        <v>3.7467330235364007</v>
      </c>
      <c r="I68" s="178" t="str">
        <f t="shared" si="4"/>
        <v/>
      </c>
      <c r="S68" s="175" t="str">
        <f t="shared" si="0"/>
        <v/>
      </c>
      <c r="T68" s="175" t="str">
        <f t="shared" si="1"/>
        <v/>
      </c>
      <c r="U68" s="175" t="str">
        <f t="shared" si="2"/>
        <v/>
      </c>
      <c r="V68" s="175" t="str">
        <f t="shared" si="3"/>
        <v/>
      </c>
    </row>
    <row r="69" spans="1:29" s="120" customFormat="1" ht="21" customHeight="1" x14ac:dyDescent="0.25">
      <c r="A69" s="1" t="str">
        <f>+'Pricing sheet'!A79</f>
        <v>IT.26</v>
      </c>
      <c r="B69" s="75" t="str">
        <f>+'Pricing sheet'!B79</f>
        <v>GUIDE RAIL 50</v>
      </c>
      <c r="C69" s="75" t="str">
        <f>+'Pricing sheet'!C79</f>
        <v>RAILS &amp; ACCESSOIRES</v>
      </c>
      <c r="D69" s="75" t="str">
        <f>+'Pricing sheet'!D79</f>
        <v>Pc</v>
      </c>
      <c r="E69" s="75">
        <f>+'Pricing sheet'!E79</f>
        <v>27</v>
      </c>
      <c r="F69" s="126">
        <f>+'Pricing sheet'!M79</f>
        <v>299.89405785352</v>
      </c>
      <c r="G69" s="126">
        <f>+'Pricing sheet'!N79</f>
        <v>316.94605785352002</v>
      </c>
      <c r="H69" s="126">
        <f>+'Pricing sheet'!O79</f>
        <v>345.28225170704002</v>
      </c>
      <c r="I69" s="178" t="str">
        <f t="shared" si="4"/>
        <v/>
      </c>
      <c r="S69" s="175" t="str">
        <f t="shared" si="0"/>
        <v/>
      </c>
      <c r="T69" s="175" t="str">
        <f t="shared" si="1"/>
        <v/>
      </c>
      <c r="U69" s="175" t="str">
        <f t="shared" si="2"/>
        <v/>
      </c>
      <c r="V69" s="175" t="str">
        <f t="shared" si="3"/>
        <v/>
      </c>
    </row>
    <row r="70" spans="1:29" s="120" customFormat="1" ht="21" customHeight="1" x14ac:dyDescent="0.25">
      <c r="A70" s="1" t="str">
        <f>+'Pricing sheet'!A80</f>
        <v>IT.27</v>
      </c>
      <c r="B70" s="75" t="str">
        <f>+'Pricing sheet'!B80</f>
        <v>GUIDE RAIL 70</v>
      </c>
      <c r="C70" s="75" t="str">
        <f>+'Pricing sheet'!C80</f>
        <v>RAILS &amp; ACCESSOIRES</v>
      </c>
      <c r="D70" s="75" t="str">
        <f>+'Pricing sheet'!D80</f>
        <v>Pc</v>
      </c>
      <c r="E70" s="75">
        <f>+'Pricing sheet'!E80</f>
        <v>51</v>
      </c>
      <c r="F70" s="126">
        <f>+'Pricing sheet'!M80</f>
        <v>589.26339809565343</v>
      </c>
      <c r="G70" s="126">
        <f>+'Pricing sheet'!N80</f>
        <v>623.17139809565344</v>
      </c>
      <c r="H70" s="126">
        <f>+'Pricing sheet'!O80</f>
        <v>679.52094019130675</v>
      </c>
      <c r="I70" s="178">
        <f t="shared" si="4"/>
        <v>400</v>
      </c>
      <c r="S70" s="175" t="str">
        <f t="shared" si="0"/>
        <v/>
      </c>
      <c r="T70" s="175" t="str">
        <f t="shared" si="1"/>
        <v/>
      </c>
      <c r="U70" s="175" t="str">
        <f t="shared" si="2"/>
        <v/>
      </c>
      <c r="V70" s="175" t="str">
        <f t="shared" si="3"/>
        <v/>
      </c>
      <c r="Z70" s="179">
        <f>+IF(H2&gt;7,700,400)</f>
        <v>400</v>
      </c>
    </row>
    <row r="71" spans="1:29" s="120" customFormat="1" ht="21" customHeight="1" x14ac:dyDescent="0.25">
      <c r="A71" s="1" t="str">
        <f>+'Pricing sheet'!A81</f>
        <v>IT.28</v>
      </c>
      <c r="B71" s="75" t="str">
        <f>+'Pricing sheet'!B81</f>
        <v>SET RAIL : 50 + 70</v>
      </c>
      <c r="C71" s="75" t="str">
        <f>+'Pricing sheet'!C81</f>
        <v>RAILS &amp; ACCESSOIRES</v>
      </c>
      <c r="D71" s="75" t="str">
        <f>+'Pricing sheet'!D81</f>
        <v>SET</v>
      </c>
      <c r="E71" s="75">
        <f>+'Pricing sheet'!E81</f>
        <v>0.36</v>
      </c>
      <c r="F71" s="126">
        <f>+'Pricing sheet'!M81</f>
        <v>787.02223794133351</v>
      </c>
      <c r="G71" s="126">
        <f>+'Pricing sheet'!N81</f>
        <v>837.98223794133344</v>
      </c>
      <c r="H71" s="126">
        <f>+'Pricing sheet'!O81</f>
        <v>922.6737558826668</v>
      </c>
      <c r="I71" s="178">
        <f t="shared" si="4"/>
        <v>200</v>
      </c>
      <c r="S71" s="175" t="str">
        <f t="shared" si="0"/>
        <v/>
      </c>
      <c r="T71" s="175" t="str">
        <f t="shared" si="1"/>
        <v/>
      </c>
      <c r="U71" s="175" t="str">
        <f t="shared" si="2"/>
        <v/>
      </c>
      <c r="V71" s="175" t="str">
        <f t="shared" si="3"/>
        <v/>
      </c>
      <c r="Z71" s="175">
        <v>200</v>
      </c>
    </row>
    <row r="72" spans="1:29" s="120" customFormat="1" ht="21" customHeight="1" x14ac:dyDescent="0.25">
      <c r="A72" s="1" t="str">
        <f>+'Pricing sheet'!A82</f>
        <v>IT.29</v>
      </c>
      <c r="B72" s="75" t="str">
        <f>+'Pricing sheet'!B82</f>
        <v>GUIDE RAIL 90</v>
      </c>
      <c r="C72" s="75" t="str">
        <f>+'Pricing sheet'!C82</f>
        <v>RAILS &amp; ACCESSOIRES</v>
      </c>
      <c r="D72" s="75" t="str">
        <f>+'Pricing sheet'!D82</f>
        <v>Pc</v>
      </c>
      <c r="E72" s="75">
        <f>+'Pricing sheet'!E82</f>
        <v>0</v>
      </c>
      <c r="F72" s="126">
        <f>+'Pricing sheet'!M82</f>
        <v>983.78185511666663</v>
      </c>
      <c r="G72" s="126">
        <f>+'Pricing sheet'!N82</f>
        <v>1047.4818551166666</v>
      </c>
      <c r="H72" s="126">
        <f>+'Pricing sheet'!O82</f>
        <v>1153.3503102333334</v>
      </c>
      <c r="I72" s="178">
        <f t="shared" si="4"/>
        <v>100</v>
      </c>
      <c r="S72" s="175" t="str">
        <f t="shared" si="0"/>
        <v/>
      </c>
      <c r="T72" s="175" t="str">
        <f t="shared" si="1"/>
        <v/>
      </c>
      <c r="U72" s="175" t="str">
        <f t="shared" si="2"/>
        <v/>
      </c>
      <c r="V72" s="175" t="str">
        <f t="shared" si="3"/>
        <v/>
      </c>
      <c r="Z72" s="175">
        <v>100</v>
      </c>
    </row>
    <row r="73" spans="1:29" s="120" customFormat="1" ht="21" customHeight="1" x14ac:dyDescent="0.25">
      <c r="A73" s="1" t="str">
        <f>+'Pricing sheet'!A83</f>
        <v>IT.30</v>
      </c>
      <c r="B73" s="75" t="str">
        <f>+'Pricing sheet'!B83</f>
        <v>GARNITURE COULISSEAU 50</v>
      </c>
      <c r="C73" s="75" t="str">
        <f>+'Pricing sheet'!C83</f>
        <v>RAILS &amp; ACCESSOIRES</v>
      </c>
      <c r="D73" s="75" t="str">
        <f>+'Pricing sheet'!D83</f>
        <v>SET</v>
      </c>
      <c r="E73" s="75">
        <f>+'Pricing sheet'!E83</f>
        <v>0.14000000000000001</v>
      </c>
      <c r="F73" s="126">
        <f>+'Pricing sheet'!M83</f>
        <v>7.5673978671666671</v>
      </c>
      <c r="G73" s="126">
        <f>+'Pricing sheet'!N83</f>
        <v>8.0573978671666673</v>
      </c>
      <c r="H73" s="126">
        <f>+'Pricing sheet'!O83</f>
        <v>8.8716157343333339</v>
      </c>
      <c r="I73" s="178">
        <f t="shared" si="4"/>
        <v>30</v>
      </c>
      <c r="S73" s="175" t="str">
        <f t="shared" si="0"/>
        <v/>
      </c>
      <c r="T73" s="175" t="str">
        <f t="shared" si="1"/>
        <v/>
      </c>
      <c r="U73" s="175" t="str">
        <f t="shared" si="2"/>
        <v/>
      </c>
      <c r="V73" s="175" t="str">
        <f t="shared" si="3"/>
        <v/>
      </c>
      <c r="Z73" s="175">
        <f>24+(H2-3)*3</f>
        <v>30</v>
      </c>
    </row>
    <row r="74" spans="1:29" s="120" customFormat="1" ht="21" customHeight="1" x14ac:dyDescent="0.25">
      <c r="A74" s="1" t="str">
        <f>+'Pricing sheet'!A84</f>
        <v>IT.31</v>
      </c>
      <c r="B74" s="75" t="str">
        <f>+'Pricing sheet'!B84</f>
        <v>CABLE TRACTION (10mm)</v>
      </c>
      <c r="C74" s="75" t="str">
        <f>+'Pricing sheet'!C84</f>
        <v>CABLES &amp; ACCESSOIRES</v>
      </c>
      <c r="D74" s="75" t="str">
        <f>+'Pricing sheet'!D84</f>
        <v>M</v>
      </c>
      <c r="E74" s="75">
        <f>+'Pricing sheet'!E84</f>
        <v>0.4</v>
      </c>
      <c r="F74" s="126">
        <f>+'Pricing sheet'!M84</f>
        <v>13.924013931079468</v>
      </c>
      <c r="G74" s="126">
        <f>+'Pricing sheet'!N84</f>
        <v>14.825613931079468</v>
      </c>
      <c r="H74" s="126">
        <f>+'Pricing sheet'!O84</f>
        <v>16.323776662158934</v>
      </c>
      <c r="I74" s="178">
        <f t="shared" si="4"/>
        <v>3</v>
      </c>
      <c r="S74" s="175" t="str">
        <f t="shared" si="0"/>
        <v/>
      </c>
      <c r="T74" s="175" t="str">
        <f t="shared" si="1"/>
        <v/>
      </c>
      <c r="U74" s="175" t="str">
        <f t="shared" si="2"/>
        <v/>
      </c>
      <c r="V74" s="175" t="str">
        <f t="shared" si="3"/>
        <v/>
      </c>
      <c r="Z74" s="175">
        <f>+IF(H2&lt;8,3,4)</f>
        <v>3</v>
      </c>
    </row>
    <row r="75" spans="1:29" ht="30" x14ac:dyDescent="0.25">
      <c r="A75" s="1" t="str">
        <f>+'Pricing sheet'!A85</f>
        <v>IT.32</v>
      </c>
      <c r="B75" s="75" t="str">
        <f>+'Pricing sheet'!B85</f>
        <v>CABLE GEARLESS (6,5mm)</v>
      </c>
      <c r="C75" s="75" t="str">
        <f>+'Pricing sheet'!C85</f>
        <v>CABLES &amp; ACCESSOIRES</v>
      </c>
      <c r="D75" s="75" t="str">
        <f>+'Pricing sheet'!D85</f>
        <v>M</v>
      </c>
      <c r="E75" s="75">
        <f>+'Pricing sheet'!E85</f>
        <v>0</v>
      </c>
      <c r="F75" s="126">
        <f>+'Pricing sheet'!M85</f>
        <v>13.167273834633798</v>
      </c>
      <c r="G75" s="126">
        <f>+'Pricing sheet'!N85</f>
        <v>14.019873834633799</v>
      </c>
      <c r="H75" s="126">
        <f>+'Pricing sheet'!O85</f>
        <v>15.4366144692676</v>
      </c>
      <c r="I75" s="178">
        <f t="shared" si="4"/>
        <v>30</v>
      </c>
      <c r="O75" s="120"/>
      <c r="S75" s="175" t="str">
        <f t="shared" si="0"/>
        <v/>
      </c>
      <c r="T75" s="175" t="str">
        <f t="shared" si="1"/>
        <v/>
      </c>
      <c r="U75" s="175" t="str">
        <f t="shared" si="2"/>
        <v/>
      </c>
      <c r="V75" s="175" t="str">
        <f t="shared" si="3"/>
        <v/>
      </c>
      <c r="Z75" s="175">
        <f>+Z73</f>
        <v>30</v>
      </c>
    </row>
    <row r="76" spans="1:29" ht="30" x14ac:dyDescent="0.25">
      <c r="A76" s="1" t="str">
        <f>+'Pricing sheet'!A86</f>
        <v>IT.33</v>
      </c>
      <c r="B76" s="75" t="str">
        <f>+'Pricing sheet'!B86</f>
        <v>CABLE REGULATEUR (6mm)</v>
      </c>
      <c r="C76" s="75" t="str">
        <f>+'Pricing sheet'!C86</f>
        <v>CABLES &amp; ACCESSOIRES</v>
      </c>
      <c r="D76" s="75">
        <f>+'Pricing sheet'!D86</f>
        <v>0</v>
      </c>
      <c r="E76" s="75">
        <f>+'Pricing sheet'!E86</f>
        <v>0.22</v>
      </c>
      <c r="F76" s="126">
        <f>+'Pricing sheet'!M86</f>
        <v>4.2612325098101342</v>
      </c>
      <c r="G76" s="126">
        <f>+'Pricing sheet'!N86</f>
        <v>4.5356325098101342</v>
      </c>
      <c r="H76" s="126">
        <f>+'Pricing sheet'!O86</f>
        <v>4.9915942196202678</v>
      </c>
      <c r="I76" s="178">
        <f t="shared" si="4"/>
        <v>50</v>
      </c>
      <c r="S76" s="175" t="str">
        <f t="shared" si="0"/>
        <v/>
      </c>
      <c r="T76" s="175" t="str">
        <f t="shared" ref="T76:T85" si="6">IF($C76=T$10,IF(AND(ISNUMBER(SEARCH($F$2,$B76)),ISNUMBER(SEARCH($N$2,$B76)),ISNUMBER(SEARCH($I$2,$B76))),1,""),"")</f>
        <v/>
      </c>
      <c r="U76" s="175" t="str">
        <f t="shared" ref="U76:U113" si="7">IF($C76=U$10,IF(AND(ISNUMBER(SEARCH($M$2,$B76)),ISNUMBER(SEARCH($L$2,$B76)),ISNUMBER(SEARCH($J$2,$B76)),ISNUMBER(SEARCH($K$2,$B76))),$H$2,""),"")</f>
        <v/>
      </c>
      <c r="V76" s="175" t="str">
        <f t="shared" ref="V76:V113" si="8">IF($C76=V$10,IF(AND(ISNUMBER(SEARCH($M$2,$B76)),ISNUMBER(SEARCH($J$2,$B76))),1,""),"")</f>
        <v/>
      </c>
      <c r="Z76" s="175">
        <v>50</v>
      </c>
    </row>
    <row r="77" spans="1:29" ht="30" x14ac:dyDescent="0.25">
      <c r="A77" s="1" t="str">
        <f>+'Pricing sheet'!A87</f>
        <v>IT.34</v>
      </c>
      <c r="B77" s="75" t="str">
        <f>+'Pricing sheet'!B87</f>
        <v>TIRANDS 10MM</v>
      </c>
      <c r="C77" s="75" t="str">
        <f>+'Pricing sheet'!C87</f>
        <v>CABLES &amp; ACCESSOIRES</v>
      </c>
      <c r="D77" s="75" t="str">
        <f>+'Pricing sheet'!D87</f>
        <v>Pc</v>
      </c>
      <c r="E77" s="75">
        <f>+'Pricing sheet'!E87</f>
        <v>1.0900000000000001</v>
      </c>
      <c r="F77" s="126">
        <f>+'Pricing sheet'!M87</f>
        <v>33.570552863911672</v>
      </c>
      <c r="G77" s="126">
        <f>+'Pricing sheet'!N87</f>
        <v>35.677552863911671</v>
      </c>
      <c r="H77" s="126">
        <f>+'Pricing sheet'!O87</f>
        <v>39.178706727823339</v>
      </c>
      <c r="I77" s="178">
        <f t="shared" si="4"/>
        <v>1</v>
      </c>
      <c r="S77" s="175" t="str">
        <f t="shared" ref="S77:S113" si="9">IF($C77=S$10,IF(AND(ISNUMBER(SEARCH($F$2,$B77)),ISNUMBER(SEARCH($N$2,$B77)),ISNUMBER(SEARCH($N$2,$B77))),1,""),"")</f>
        <v/>
      </c>
      <c r="T77" s="175" t="str">
        <f t="shared" si="6"/>
        <v/>
      </c>
      <c r="U77" s="175" t="str">
        <f t="shared" si="7"/>
        <v/>
      </c>
      <c r="V77" s="175" t="str">
        <f t="shared" si="8"/>
        <v/>
      </c>
      <c r="AA77" s="176">
        <v>1</v>
      </c>
    </row>
    <row r="78" spans="1:29" ht="30" x14ac:dyDescent="0.25">
      <c r="A78" s="1" t="str">
        <f>+'Pricing sheet'!A88</f>
        <v>IT.35</v>
      </c>
      <c r="B78" s="75" t="str">
        <f>+'Pricing sheet'!B88</f>
        <v>TIRANDS 6,5MM</v>
      </c>
      <c r="C78" s="75" t="str">
        <f>+'Pricing sheet'!C88</f>
        <v>CABLES &amp; ACCESSOIRES</v>
      </c>
      <c r="D78" s="75" t="str">
        <f>+'Pricing sheet'!D88</f>
        <v>Pc</v>
      </c>
      <c r="E78" s="75">
        <f>+'Pricing sheet'!E88</f>
        <v>0</v>
      </c>
      <c r="F78" s="126">
        <f>+'Pricing sheet'!M88</f>
        <v>32.539827863911668</v>
      </c>
      <c r="G78" s="126">
        <f>+'Pricing sheet'!N88</f>
        <v>34.646827863911668</v>
      </c>
      <c r="H78" s="126">
        <f>+'Pricing sheet'!O88</f>
        <v>38.147981727823336</v>
      </c>
      <c r="I78" s="178" t="str">
        <f t="shared" si="4"/>
        <v/>
      </c>
      <c r="S78" s="175" t="str">
        <f t="shared" si="9"/>
        <v/>
      </c>
      <c r="T78" s="175" t="str">
        <f t="shared" si="6"/>
        <v/>
      </c>
      <c r="U78" s="175" t="str">
        <f t="shared" si="7"/>
        <v/>
      </c>
      <c r="V78" s="175" t="str">
        <f t="shared" si="8"/>
        <v/>
      </c>
    </row>
    <row r="79" spans="1:29" ht="30" x14ac:dyDescent="0.25">
      <c r="A79" s="1" t="str">
        <f>+'Pricing sheet'!A89</f>
        <v>IT.36</v>
      </c>
      <c r="B79" s="75" t="str">
        <f>+'Pricing sheet'!B89</f>
        <v>SERRE CABLE DIAM 10mm *</v>
      </c>
      <c r="C79" s="75" t="str">
        <f>+'Pricing sheet'!C89</f>
        <v>CABLES &amp; ACCESSOIRES</v>
      </c>
      <c r="D79" s="75" t="str">
        <f>+'Pricing sheet'!D89</f>
        <v>Pc</v>
      </c>
      <c r="E79" s="75">
        <f>+'Pricing sheet'!E89</f>
        <v>7.0000000000000007E-2</v>
      </c>
      <c r="F79" s="126">
        <f>+'Pricing sheet'!M89</f>
        <v>3.0269588587466671</v>
      </c>
      <c r="G79" s="126">
        <f>+'Pricing sheet'!N89</f>
        <v>3.2229588587466669</v>
      </c>
      <c r="H79" s="126">
        <f>+'Pricing sheet'!O89</f>
        <v>3.5486457174933337</v>
      </c>
      <c r="I79" s="178">
        <f t="shared" si="4"/>
        <v>5</v>
      </c>
      <c r="S79" s="175" t="str">
        <f t="shared" si="9"/>
        <v/>
      </c>
      <c r="T79" s="175" t="str">
        <f t="shared" si="6"/>
        <v/>
      </c>
      <c r="U79" s="175" t="str">
        <f t="shared" si="7"/>
        <v/>
      </c>
      <c r="V79" s="175" t="str">
        <f t="shared" si="8"/>
        <v/>
      </c>
      <c r="AA79" s="176">
        <f>+H2</f>
        <v>5</v>
      </c>
    </row>
    <row r="80" spans="1:29" ht="30" x14ac:dyDescent="0.25">
      <c r="A80" s="1" t="str">
        <f>+'Pricing sheet'!A90</f>
        <v>IT.37</v>
      </c>
      <c r="B80" s="75" t="str">
        <f>+'Pricing sheet'!B90</f>
        <v>SERRE CABLE DIAM 6,5mm *</v>
      </c>
      <c r="C80" s="75" t="str">
        <f>+'Pricing sheet'!C90</f>
        <v>CABLES &amp; ACCESSOIRES</v>
      </c>
      <c r="D80" s="75">
        <f>+'Pricing sheet'!D90</f>
        <v>0</v>
      </c>
      <c r="E80" s="75">
        <f>+'Pricing sheet'!E90</f>
        <v>0</v>
      </c>
      <c r="F80" s="126">
        <f>+'Pricing sheet'!M90</f>
        <v>2.270219108045</v>
      </c>
      <c r="G80" s="126">
        <f>+'Pricing sheet'!N90</f>
        <v>2.4172191080449998</v>
      </c>
      <c r="H80" s="126">
        <f>+'Pricing sheet'!O90</f>
        <v>2.6614842160899999</v>
      </c>
      <c r="I80" s="178" t="str">
        <f t="shared" si="4"/>
        <v/>
      </c>
      <c r="S80" s="175" t="str">
        <f t="shared" si="9"/>
        <v/>
      </c>
      <c r="T80" s="175" t="str">
        <f t="shared" si="6"/>
        <v/>
      </c>
      <c r="U80" s="175" t="str">
        <f t="shared" si="7"/>
        <v/>
      </c>
      <c r="V80" s="175" t="str">
        <f t="shared" si="8"/>
        <v/>
      </c>
    </row>
    <row r="81" spans="1:29" ht="30" x14ac:dyDescent="0.25">
      <c r="A81" s="1" t="str">
        <f>+'Pricing sheet'!A91</f>
        <v>IT.38</v>
      </c>
      <c r="B81" s="75" t="str">
        <f>+'Pricing sheet'!B91</f>
        <v>SERRE CABLE DIAM 6mm *</v>
      </c>
      <c r="C81" s="75" t="str">
        <f>+'Pricing sheet'!C91</f>
        <v>CABLES &amp; ACCESSOIRES</v>
      </c>
      <c r="D81" s="75" t="str">
        <f>+'Pricing sheet'!D91</f>
        <v>Pc</v>
      </c>
      <c r="E81" s="75">
        <f>+'Pricing sheet'!E91</f>
        <v>0.01</v>
      </c>
      <c r="F81" s="126">
        <f>+'Pricing sheet'!M91</f>
        <v>1.5134793813533336</v>
      </c>
      <c r="G81" s="126">
        <f>+'Pricing sheet'!N91</f>
        <v>1.6114793813533335</v>
      </c>
      <c r="H81" s="126">
        <f>+'Pricing sheet'!O91</f>
        <v>1.7743227627066669</v>
      </c>
      <c r="I81" s="178" t="str">
        <f t="shared" si="4"/>
        <v/>
      </c>
      <c r="S81" s="175" t="str">
        <f t="shared" si="9"/>
        <v/>
      </c>
      <c r="T81" s="175" t="str">
        <f t="shared" si="6"/>
        <v/>
      </c>
      <c r="U81" s="175" t="str">
        <f t="shared" si="7"/>
        <v/>
      </c>
      <c r="V81" s="175" t="str">
        <f t="shared" si="8"/>
        <v/>
      </c>
    </row>
    <row r="82" spans="1:29" x14ac:dyDescent="0.25">
      <c r="A82" s="1" t="str">
        <f>+'Pricing sheet'!A92</f>
        <v>IT.39</v>
      </c>
      <c r="B82" s="75" t="str">
        <f>+'Pricing sheet'!B92</f>
        <v>GOSE 96 CM (50 KG)</v>
      </c>
      <c r="C82" s="75" t="str">
        <f>+'Pricing sheet'!C92</f>
        <v>GOSE</v>
      </c>
      <c r="D82" s="75" t="str">
        <f>+'Pricing sheet'!D92</f>
        <v>Pc</v>
      </c>
      <c r="E82" s="75">
        <f>+'Pricing sheet'!E92</f>
        <v>50</v>
      </c>
      <c r="F82" s="126">
        <f>+'Pricing sheet'!M92</f>
        <v>90.808932872</v>
      </c>
      <c r="G82" s="126">
        <f>+'Pricing sheet'!N92</f>
        <v>96.688932872000009</v>
      </c>
      <c r="H82" s="126">
        <f>+'Pricing sheet'!O92</f>
        <v>106.45970574400002</v>
      </c>
      <c r="I82" s="178">
        <f t="shared" si="4"/>
        <v>3</v>
      </c>
      <c r="S82" s="175" t="str">
        <f t="shared" si="9"/>
        <v/>
      </c>
      <c r="T82" s="175" t="str">
        <f t="shared" si="6"/>
        <v/>
      </c>
      <c r="U82" s="175" t="str">
        <f t="shared" si="7"/>
        <v/>
      </c>
      <c r="V82" s="175" t="str">
        <f t="shared" si="8"/>
        <v/>
      </c>
      <c r="AC82" s="176">
        <v>3</v>
      </c>
    </row>
    <row r="83" spans="1:29" x14ac:dyDescent="0.25">
      <c r="A83" s="1" t="str">
        <f>+'Pricing sheet'!A93</f>
        <v>IT.40</v>
      </c>
      <c r="B83" s="75" t="str">
        <f>+'Pricing sheet'!B93</f>
        <v>COLLECTEUR D'HUILE</v>
      </c>
      <c r="C83" s="75" t="str">
        <f>+'Pricing sheet'!C93</f>
        <v>AUTRES</v>
      </c>
      <c r="D83" s="75" t="str">
        <f>+'Pricing sheet'!D93</f>
        <v>Pc</v>
      </c>
      <c r="E83" s="75">
        <f>+'Pricing sheet'!E93</f>
        <v>7.0000000000000007E-2</v>
      </c>
      <c r="F83" s="126">
        <f>+'Pricing sheet'!M93</f>
        <v>3.7836986334583336</v>
      </c>
      <c r="G83" s="126">
        <f>+'Pricing sheet'!N93</f>
        <v>4.0286986334583341</v>
      </c>
      <c r="H83" s="126">
        <f>+'Pricing sheet'!O93</f>
        <v>4.435807266916667</v>
      </c>
      <c r="I83" s="178" t="str">
        <f t="shared" si="4"/>
        <v/>
      </c>
      <c r="S83" s="175" t="str">
        <f t="shared" si="9"/>
        <v/>
      </c>
      <c r="T83" s="175" t="str">
        <f t="shared" si="6"/>
        <v/>
      </c>
      <c r="U83" s="175" t="str">
        <f t="shared" si="7"/>
        <v/>
      </c>
      <c r="V83" s="175" t="str">
        <f t="shared" si="8"/>
        <v/>
      </c>
    </row>
    <row r="84" spans="1:29" x14ac:dyDescent="0.25">
      <c r="A84" s="1" t="str">
        <f>+'Pricing sheet'!A94</f>
        <v>IT.41</v>
      </c>
      <c r="B84" s="75" t="str">
        <f>+'Pricing sheet'!B94</f>
        <v>BOITE DE LUBRIFICATION</v>
      </c>
      <c r="C84" s="75" t="str">
        <f>+'Pricing sheet'!C94</f>
        <v>AUTRES</v>
      </c>
      <c r="D84" s="75" t="str">
        <f>+'Pricing sheet'!D94</f>
        <v>Pc</v>
      </c>
      <c r="E84" s="75">
        <f>+'Pricing sheet'!E94</f>
        <v>0.3</v>
      </c>
      <c r="F84" s="126">
        <f>+'Pricing sheet'!M94</f>
        <v>15.134798135333334</v>
      </c>
      <c r="G84" s="126">
        <f>+'Pricing sheet'!N94</f>
        <v>16.114798135333334</v>
      </c>
      <c r="H84" s="126">
        <f>+'Pricing sheet'!O94</f>
        <v>17.743236270666667</v>
      </c>
      <c r="I84" s="178">
        <f t="shared" si="4"/>
        <v>1</v>
      </c>
      <c r="S84" s="175" t="str">
        <f t="shared" si="9"/>
        <v/>
      </c>
      <c r="T84" s="175" t="str">
        <f t="shared" si="6"/>
        <v/>
      </c>
      <c r="U84" s="175" t="str">
        <f t="shared" si="7"/>
        <v/>
      </c>
      <c r="V84" s="175" t="str">
        <f t="shared" si="8"/>
        <v/>
      </c>
      <c r="AC84" s="176">
        <v>1</v>
      </c>
    </row>
    <row r="85" spans="1:29" x14ac:dyDescent="0.25">
      <c r="A85" s="1" t="str">
        <f>+'Pricing sheet'!A95</f>
        <v>IT.42</v>
      </c>
      <c r="B85" s="75" t="str">
        <f>+'Pricing sheet'!B95</f>
        <v>COULISSEAUX CABIN</v>
      </c>
      <c r="C85" s="75" t="str">
        <f>+'Pricing sheet'!C95</f>
        <v>AUTRES</v>
      </c>
      <c r="D85" s="75" t="str">
        <f>+'Pricing sheet'!D95</f>
        <v>Pc</v>
      </c>
      <c r="E85" s="75">
        <f>+'Pricing sheet'!E95</f>
        <v>1</v>
      </c>
      <c r="F85" s="126">
        <f>+'Pricing sheet'!M95</f>
        <v>90.808932872</v>
      </c>
      <c r="G85" s="126">
        <f>+'Pricing sheet'!N95</f>
        <v>96.688932872000009</v>
      </c>
      <c r="H85" s="126">
        <f>+'Pricing sheet'!O95</f>
        <v>106.45970574400002</v>
      </c>
      <c r="I85" s="178">
        <f t="shared" si="4"/>
        <v>1</v>
      </c>
      <c r="S85" s="175" t="str">
        <f t="shared" si="9"/>
        <v/>
      </c>
      <c r="T85" s="175" t="str">
        <f t="shared" si="6"/>
        <v/>
      </c>
      <c r="U85" s="175" t="str">
        <f t="shared" si="7"/>
        <v/>
      </c>
      <c r="V85" s="175" t="str">
        <f t="shared" si="8"/>
        <v/>
      </c>
      <c r="AC85" s="176">
        <v>1</v>
      </c>
    </row>
    <row r="86" spans="1:29" x14ac:dyDescent="0.25">
      <c r="A86" s="1" t="str">
        <f>+'Pricing sheet'!A96</f>
        <v>IT.43</v>
      </c>
      <c r="B86" s="75" t="str">
        <f>+'Pricing sheet'!B96</f>
        <v>COULISSEAUX CONTRE-POIDS</v>
      </c>
      <c r="C86" s="75" t="str">
        <f>+'Pricing sheet'!C96</f>
        <v>AUTRES</v>
      </c>
      <c r="D86" s="75" t="str">
        <f>+'Pricing sheet'!D96</f>
        <v>Pc</v>
      </c>
      <c r="E86" s="75">
        <f>+'Pricing sheet'!E96</f>
        <v>0.6</v>
      </c>
      <c r="F86" s="126">
        <f>+'Pricing sheet'!M96</f>
        <v>52.971835491166672</v>
      </c>
      <c r="G86" s="126">
        <f>+'Pricing sheet'!N96</f>
        <v>56.401835491166672</v>
      </c>
      <c r="H86" s="126">
        <f>+'Pricing sheet'!O96</f>
        <v>62.101410982333341</v>
      </c>
      <c r="I86" s="178">
        <f t="shared" si="4"/>
        <v>1</v>
      </c>
      <c r="S86" s="175" t="str">
        <f t="shared" si="9"/>
        <v/>
      </c>
      <c r="T86" s="176"/>
      <c r="U86" s="175" t="str">
        <f t="shared" si="7"/>
        <v/>
      </c>
      <c r="V86" s="175" t="str">
        <f t="shared" si="8"/>
        <v/>
      </c>
      <c r="AC86" s="176">
        <v>1</v>
      </c>
    </row>
    <row r="87" spans="1:29" x14ac:dyDescent="0.25">
      <c r="A87" s="1" t="str">
        <f>+'Pricing sheet'!A97</f>
        <v>IT.44</v>
      </c>
      <c r="B87" s="75" t="str">
        <f>+'Pricing sheet'!B97</f>
        <v>GARNITURE COULISSEAU 70</v>
      </c>
      <c r="C87" s="75" t="str">
        <f>+'Pricing sheet'!C97</f>
        <v>AUTRES</v>
      </c>
      <c r="D87" s="75" t="str">
        <f>+'Pricing sheet'!D97</f>
        <v>Pc</v>
      </c>
      <c r="E87" s="75">
        <f>+'Pricing sheet'!E97</f>
        <v>0.14000000000000001</v>
      </c>
      <c r="F87" s="126">
        <f>+'Pricing sheet'!M97</f>
        <v>7.5673978671666671</v>
      </c>
      <c r="G87" s="126">
        <f>+'Pricing sheet'!N97</f>
        <v>8.0573978671666673</v>
      </c>
      <c r="H87" s="126">
        <f>+'Pricing sheet'!O97</f>
        <v>8.8716157343333339</v>
      </c>
      <c r="I87" s="178" t="str">
        <f t="shared" si="4"/>
        <v/>
      </c>
      <c r="S87" s="175" t="str">
        <f t="shared" si="9"/>
        <v/>
      </c>
      <c r="T87" s="176"/>
      <c r="U87" s="175" t="str">
        <f t="shared" si="7"/>
        <v/>
      </c>
      <c r="V87" s="175" t="str">
        <f t="shared" si="8"/>
        <v/>
      </c>
    </row>
    <row r="88" spans="1:29" x14ac:dyDescent="0.25">
      <c r="A88" s="1" t="str">
        <f>+'Pricing sheet'!A98</f>
        <v>IT.45</v>
      </c>
      <c r="B88" s="75" t="str">
        <f>+'Pricing sheet'!B98</f>
        <v>POULIE RENVOI 5*10 GEARBOX</v>
      </c>
      <c r="C88" s="75" t="str">
        <f>+'Pricing sheet'!C98</f>
        <v>AUTRES</v>
      </c>
      <c r="D88" s="75" t="str">
        <f>+'Pricing sheet'!D98</f>
        <v>Pc</v>
      </c>
      <c r="E88" s="75">
        <f>+'Pricing sheet'!E98</f>
        <v>20</v>
      </c>
      <c r="F88" s="126" t="e">
        <f>+'Pricing sheet'!M98</f>
        <v>#REF!</v>
      </c>
      <c r="G88" s="126" t="e">
        <f>+'Pricing sheet'!N98</f>
        <v>#REF!</v>
      </c>
      <c r="H88" s="126" t="e">
        <f>+'Pricing sheet'!O98</f>
        <v>#REF!</v>
      </c>
      <c r="I88" s="178" t="str">
        <f t="shared" si="4"/>
        <v/>
      </c>
      <c r="S88" s="175" t="str">
        <f t="shared" si="9"/>
        <v/>
      </c>
      <c r="T88" s="176"/>
      <c r="U88" s="175" t="str">
        <f t="shared" si="7"/>
        <v/>
      </c>
      <c r="V88" s="175" t="str">
        <f t="shared" si="8"/>
        <v/>
      </c>
    </row>
    <row r="89" spans="1:29" x14ac:dyDescent="0.25">
      <c r="A89" s="1" t="str">
        <f>+'Pricing sheet'!A99</f>
        <v>IT.46</v>
      </c>
      <c r="B89" s="75" t="str">
        <f>+'Pricing sheet'!B99</f>
        <v>BUFFER  CABIN/C,P / LES BOUDINS  SET COMPLET</v>
      </c>
      <c r="C89" s="75" t="str">
        <f>+'Pricing sheet'!C99</f>
        <v>AUTRES</v>
      </c>
      <c r="D89" s="75" t="str">
        <f>+'Pricing sheet'!D99</f>
        <v>SET</v>
      </c>
      <c r="E89" s="75">
        <f>+'Pricing sheet'!E99</f>
        <v>22</v>
      </c>
      <c r="F89" s="126">
        <f>+'Pricing sheet'!M99</f>
        <v>540.88490937800009</v>
      </c>
      <c r="G89" s="126">
        <f>+'Pricing sheet'!N99</f>
        <v>573.22490937800012</v>
      </c>
      <c r="H89" s="126">
        <f>+'Pricing sheet'!O99</f>
        <v>626.96843875600007</v>
      </c>
      <c r="I89" s="178">
        <f t="shared" ref="I89:I152" si="10">IF(SUM(S89:AC89)&lt;&gt;0,SUM(S89:AC89),"")</f>
        <v>1</v>
      </c>
      <c r="S89" s="175" t="str">
        <f t="shared" si="9"/>
        <v/>
      </c>
      <c r="T89" s="176"/>
      <c r="U89" s="175" t="str">
        <f t="shared" si="7"/>
        <v/>
      </c>
      <c r="V89" s="175" t="str">
        <f t="shared" si="8"/>
        <v/>
      </c>
      <c r="AC89" s="176">
        <f>IF(F2="2V","",1)</f>
        <v>1</v>
      </c>
    </row>
    <row r="90" spans="1:29" ht="45" x14ac:dyDescent="0.25">
      <c r="A90" s="1" t="str">
        <f>+'Pricing sheet'!A100</f>
        <v>IT.47</v>
      </c>
      <c r="B90" s="75" t="str">
        <f>+'Pricing sheet'!B100</f>
        <v>CABLE 0,75MM</v>
      </c>
      <c r="C90" s="75" t="str">
        <f>+'Pricing sheet'!C100</f>
        <v>CABLES ELECTRIQUES &amp; ACCESSOIRES</v>
      </c>
      <c r="D90" s="75" t="str">
        <f>+'Pricing sheet'!D100</f>
        <v>M</v>
      </c>
      <c r="E90" s="75">
        <f>+'Pricing sheet'!E100</f>
        <v>0.02</v>
      </c>
      <c r="F90" s="126">
        <f>+'Pricing sheet'!M100</f>
        <v>0.54545674920692455</v>
      </c>
      <c r="G90" s="126">
        <f>+'Pricing sheet'!N100</f>
        <v>0.56799674920692456</v>
      </c>
      <c r="H90" s="126">
        <f>+'Pricing sheet'!O100</f>
        <v>0.60545071841384934</v>
      </c>
      <c r="I90" s="178" t="str">
        <f t="shared" si="10"/>
        <v/>
      </c>
      <c r="S90" s="175" t="str">
        <f t="shared" si="9"/>
        <v/>
      </c>
      <c r="T90" s="176"/>
      <c r="U90" s="175" t="str">
        <f t="shared" si="7"/>
        <v/>
      </c>
      <c r="V90" s="175" t="str">
        <f t="shared" si="8"/>
        <v/>
      </c>
      <c r="AC90" s="176" t="str">
        <f>IF(F2="2V",1,"")</f>
        <v/>
      </c>
    </row>
    <row r="91" spans="1:29" ht="45" x14ac:dyDescent="0.25">
      <c r="A91" s="1" t="str">
        <f>+'Pricing sheet'!A101</f>
        <v>IT.48</v>
      </c>
      <c r="B91" s="75" t="str">
        <f>+'Pricing sheet'!B101</f>
        <v>CABLE 4MM</v>
      </c>
      <c r="C91" s="75" t="str">
        <f>+'Pricing sheet'!C101</f>
        <v>CABLES ELECTRIQUES &amp; ACCESSOIRES</v>
      </c>
      <c r="D91" s="75" t="str">
        <f>+'Pricing sheet'!D101</f>
        <v>M</v>
      </c>
      <c r="E91" s="75">
        <f>+'Pricing sheet'!E101</f>
        <v>0.03</v>
      </c>
      <c r="F91" s="126">
        <f>+'Pricing sheet'!M101</f>
        <v>1.7715814416447646</v>
      </c>
      <c r="G91" s="126">
        <f>+'Pricing sheet'!N101</f>
        <v>1.8764414416447646</v>
      </c>
      <c r="H91" s="126">
        <f>+'Pricing sheet'!O101</f>
        <v>2.050683863289529</v>
      </c>
      <c r="I91" s="178" t="str">
        <f t="shared" si="10"/>
        <v/>
      </c>
      <c r="S91" s="175" t="str">
        <f t="shared" si="9"/>
        <v/>
      </c>
      <c r="T91" s="176"/>
      <c r="U91" s="175" t="str">
        <f t="shared" si="7"/>
        <v/>
      </c>
      <c r="V91" s="175" t="str">
        <f t="shared" si="8"/>
        <v/>
      </c>
    </row>
    <row r="92" spans="1:29" ht="45" x14ac:dyDescent="0.25">
      <c r="A92" s="1" t="str">
        <f>+'Pricing sheet'!A102</f>
        <v>IT.49</v>
      </c>
      <c r="B92" s="75" t="str">
        <f>+'Pricing sheet'!B102</f>
        <v>CÂBLE NUMÉRIQUE DT/13</v>
      </c>
      <c r="C92" s="75" t="str">
        <f>+'Pricing sheet'!C102</f>
        <v>CABLES ELECTRIQUES &amp; ACCESSOIRES</v>
      </c>
      <c r="D92" s="75" t="str">
        <f>+'Pricing sheet'!D102</f>
        <v>M</v>
      </c>
      <c r="E92" s="75">
        <f>+'Pricing sheet'!E102</f>
        <v>0.04</v>
      </c>
      <c r="F92" s="126">
        <f>+'Pricing sheet'!M102</f>
        <v>2.0903358581396345</v>
      </c>
      <c r="G92" s="126">
        <f>+'Pricing sheet'!N102</f>
        <v>2.2098958581396344</v>
      </c>
      <c r="H92" s="126">
        <f>+'Pricing sheet'!O102</f>
        <v>2.4085647962792693</v>
      </c>
      <c r="I92" s="178" t="str">
        <f t="shared" si="10"/>
        <v/>
      </c>
      <c r="S92" s="175" t="str">
        <f t="shared" si="9"/>
        <v/>
      </c>
      <c r="T92" s="176"/>
      <c r="U92" s="175" t="str">
        <f t="shared" si="7"/>
        <v/>
      </c>
      <c r="V92" s="175" t="str">
        <f t="shared" si="8"/>
        <v/>
      </c>
    </row>
    <row r="93" spans="1:29" ht="45" x14ac:dyDescent="0.25">
      <c r="A93" s="1" t="str">
        <f>+'Pricing sheet'!A103</f>
        <v>IT.50</v>
      </c>
      <c r="B93" s="75" t="str">
        <f>+'Pricing sheet'!B103</f>
        <v>TTR CABLE 3*0,75MM</v>
      </c>
      <c r="C93" s="75" t="str">
        <f>+'Pricing sheet'!C103</f>
        <v>CABLES ELECTRIQUES &amp; ACCESSOIRES</v>
      </c>
      <c r="D93" s="75" t="str">
        <f>+'Pricing sheet'!D103</f>
        <v>M</v>
      </c>
      <c r="E93" s="75">
        <f>+'Pricing sheet'!E103</f>
        <v>0.05</v>
      </c>
      <c r="F93" s="126">
        <f>+'Pricing sheet'!M103</f>
        <v>2.4090902767954048</v>
      </c>
      <c r="G93" s="126">
        <f>+'Pricing sheet'!N103</f>
        <v>2.5433502767954046</v>
      </c>
      <c r="H93" s="126">
        <f>+'Pricing sheet'!O103</f>
        <v>2.7664457335908095</v>
      </c>
      <c r="I93" s="178" t="str">
        <f t="shared" si="10"/>
        <v/>
      </c>
      <c r="S93" s="175" t="str">
        <f t="shared" si="9"/>
        <v/>
      </c>
      <c r="T93" s="176"/>
      <c r="U93" s="175" t="str">
        <f t="shared" si="7"/>
        <v/>
      </c>
      <c r="V93" s="175" t="str">
        <f t="shared" si="8"/>
        <v/>
      </c>
    </row>
    <row r="94" spans="1:29" ht="45" x14ac:dyDescent="0.25">
      <c r="A94" s="1" t="str">
        <f>+'Pricing sheet'!A104</f>
        <v>IT.51</v>
      </c>
      <c r="B94" s="75" t="str">
        <f>+'Pricing sheet'!B104</f>
        <v>CABLE SOUPLE 24
36 -&gt; 75 DH / 24 -&gt;  55 À 60 DH</v>
      </c>
      <c r="C94" s="75" t="str">
        <f>+'Pricing sheet'!C104</f>
        <v>CABLES ELECTRIQUES &amp; ACCESSOIRES</v>
      </c>
      <c r="D94" s="75" t="str">
        <f>+'Pricing sheet'!D104</f>
        <v>M</v>
      </c>
      <c r="E94" s="75">
        <f>+'Pricing sheet'!E104</f>
        <v>1.2</v>
      </c>
      <c r="F94" s="126">
        <f>+'Pricing sheet'!M104</f>
        <v>34.874859138616365</v>
      </c>
      <c r="G94" s="126">
        <f>+'Pricing sheet'!N104</f>
        <v>36.387293138616364</v>
      </c>
      <c r="H94" s="126">
        <f>+'Pricing sheet'!O104</f>
        <v>38.900465739232715</v>
      </c>
      <c r="I94" s="178" t="str">
        <f t="shared" si="10"/>
        <v/>
      </c>
      <c r="S94" s="175" t="str">
        <f t="shared" si="9"/>
        <v/>
      </c>
      <c r="T94" s="176"/>
      <c r="U94" s="175" t="str">
        <f t="shared" si="7"/>
        <v/>
      </c>
      <c r="V94" s="175" t="str">
        <f t="shared" si="8"/>
        <v/>
      </c>
    </row>
    <row r="95" spans="1:29" ht="45" x14ac:dyDescent="0.25">
      <c r="A95" s="1" t="str">
        <f>+'Pricing sheet'!A105</f>
        <v>IT.52</v>
      </c>
      <c r="B95" s="75" t="str">
        <f>+'Pricing sheet'!B105</f>
        <v>SUPPORT CABLE SOUPLE TYPE RECTANGLE</v>
      </c>
      <c r="C95" s="75" t="str">
        <f>+'Pricing sheet'!C105</f>
        <v>CABLES ELECTRIQUES &amp; ACCESSOIRES</v>
      </c>
      <c r="D95" s="75" t="str">
        <f>+'Pricing sheet'!D105</f>
        <v>M</v>
      </c>
      <c r="E95" s="75">
        <f>+'Pricing sheet'!E105</f>
        <v>0.3</v>
      </c>
      <c r="F95" s="126">
        <f>+'Pricing sheet'!M105</f>
        <v>14.165237739946669</v>
      </c>
      <c r="G95" s="126">
        <f>+'Pricing sheet'!N105</f>
        <v>14.949237739946668</v>
      </c>
      <c r="H95" s="126">
        <f>+'Pricing sheet'!O105</f>
        <v>16.251987479893334</v>
      </c>
      <c r="I95" s="178">
        <f t="shared" si="10"/>
        <v>1</v>
      </c>
      <c r="S95" s="175" t="str">
        <f t="shared" si="9"/>
        <v/>
      </c>
      <c r="T95" s="176"/>
      <c r="U95" s="175" t="str">
        <f t="shared" si="7"/>
        <v/>
      </c>
      <c r="V95" s="175" t="str">
        <f t="shared" si="8"/>
        <v/>
      </c>
      <c r="AC95" s="176">
        <v>1</v>
      </c>
    </row>
    <row r="96" spans="1:29" ht="45" x14ac:dyDescent="0.25">
      <c r="A96" s="1" t="str">
        <f>+'Pricing sheet'!A106</f>
        <v>IT.53</v>
      </c>
      <c r="B96" s="75" t="str">
        <f>+'Pricing sheet'!B106</f>
        <v>WIRE DUCT GOULLOTTE 40X40</v>
      </c>
      <c r="C96" s="75" t="str">
        <f>+'Pricing sheet'!C106</f>
        <v>CABLES ELECTRIQUES &amp; ACCESSOIRES</v>
      </c>
      <c r="D96" s="75" t="str">
        <f>+'Pricing sheet'!D106</f>
        <v>M</v>
      </c>
      <c r="E96" s="75">
        <f>+'Pricing sheet'!E106</f>
        <v>0.5</v>
      </c>
      <c r="F96" s="126">
        <f>+'Pricing sheet'!M106</f>
        <v>11.335118101653334</v>
      </c>
      <c r="G96" s="126">
        <f>+'Pricing sheet'!N106</f>
        <v>11.727118101653334</v>
      </c>
      <c r="H96" s="126">
        <f>+'Pricing sheet'!O106</f>
        <v>12.378492203306667</v>
      </c>
      <c r="I96" s="178">
        <f t="shared" si="10"/>
        <v>1</v>
      </c>
      <c r="S96" s="175" t="str">
        <f t="shared" si="9"/>
        <v/>
      </c>
      <c r="T96" s="176"/>
      <c r="U96" s="175" t="str">
        <f t="shared" si="7"/>
        <v/>
      </c>
      <c r="V96" s="175" t="str">
        <f t="shared" si="8"/>
        <v/>
      </c>
      <c r="AB96" s="180"/>
      <c r="AC96" s="180">
        <f>IF(I2&lt;&gt;"PRIMO",1,"")</f>
        <v>1</v>
      </c>
    </row>
    <row r="97" spans="1:29" ht="45" x14ac:dyDescent="0.25">
      <c r="A97" s="1" t="str">
        <f>+'Pricing sheet'!A107</f>
        <v>IT.54</v>
      </c>
      <c r="B97" s="75" t="str">
        <f>+'Pricing sheet'!B107</f>
        <v>TUBE SPIRALÉ 14MM</v>
      </c>
      <c r="C97" s="75" t="str">
        <f>+'Pricing sheet'!C107</f>
        <v>CABLES ELECTRIQUES &amp; ACCESSOIRES</v>
      </c>
      <c r="D97" s="75" t="str">
        <f>+'Pricing sheet'!D107</f>
        <v>M</v>
      </c>
      <c r="E97" s="75">
        <f>+'Pricing sheet'!E107</f>
        <v>1</v>
      </c>
      <c r="F97" s="126">
        <f>+'Pricing sheet'!M107</f>
        <v>13.3335264388962</v>
      </c>
      <c r="G97" s="126">
        <f>+'Pricing sheet'!N107</f>
        <v>13.421726438896201</v>
      </c>
      <c r="H97" s="126">
        <f>+'Pricing sheet'!O107</f>
        <v>13.568285477792401</v>
      </c>
      <c r="I97" s="178" t="str">
        <f t="shared" si="10"/>
        <v/>
      </c>
      <c r="S97" s="175" t="str">
        <f t="shared" si="9"/>
        <v/>
      </c>
      <c r="T97" s="176"/>
      <c r="U97" s="175" t="str">
        <f t="shared" si="7"/>
        <v/>
      </c>
      <c r="V97" s="175" t="str">
        <f t="shared" si="8"/>
        <v/>
      </c>
      <c r="AB97" s="158"/>
      <c r="AC97" s="158"/>
    </row>
    <row r="98" spans="1:29" x14ac:dyDescent="0.25">
      <c r="A98" s="1" t="str">
        <f>+'Pricing sheet'!A108</f>
        <v>IT.55</v>
      </c>
      <c r="B98" s="75" t="str">
        <f>+'Pricing sheet'!B108</f>
        <v>BOUTONS DE CABINE D’ASCENSEUR 2M</v>
      </c>
      <c r="C98" s="75" t="str">
        <f>+'Pricing sheet'!C108</f>
        <v>BOUTONS</v>
      </c>
      <c r="D98" s="75" t="str">
        <f>+'Pricing sheet'!D108</f>
        <v>Pc</v>
      </c>
      <c r="E98" s="75">
        <f>+'Pricing sheet'!E108</f>
        <v>1.8</v>
      </c>
      <c r="F98" s="126">
        <f>+'Pricing sheet'!M108</f>
        <v>1437.848704716667</v>
      </c>
      <c r="G98" s="126">
        <f>+'Pricing sheet'!N108</f>
        <v>1530.948704716667</v>
      </c>
      <c r="H98" s="126">
        <f>+'Pricing sheet'!O108</f>
        <v>1685.6932094333333</v>
      </c>
      <c r="I98" s="178" t="str">
        <f t="shared" si="10"/>
        <v/>
      </c>
      <c r="S98" s="175" t="str">
        <f t="shared" si="9"/>
        <v/>
      </c>
      <c r="T98" s="176"/>
      <c r="U98" s="175" t="str">
        <f t="shared" si="7"/>
        <v/>
      </c>
      <c r="V98" s="175" t="str">
        <f t="shared" si="8"/>
        <v/>
      </c>
      <c r="AB98" s="158"/>
      <c r="AC98" s="158"/>
    </row>
    <row r="99" spans="1:29" x14ac:dyDescent="0.25">
      <c r="A99" s="1" t="str">
        <f>+'Pricing sheet'!A109</f>
        <v>IT.56</v>
      </c>
      <c r="B99" s="75" t="str">
        <f>+'Pricing sheet'!B109</f>
        <v>BOUTONS DE CABINE D’ASCENSEUR 1M</v>
      </c>
      <c r="C99" s="75" t="str">
        <f>+'Pricing sheet'!C109</f>
        <v>BOUTONS</v>
      </c>
      <c r="D99" s="75" t="str">
        <f>+'Pricing sheet'!D109</f>
        <v>Pc</v>
      </c>
      <c r="E99" s="75">
        <f>+'Pricing sheet'!E109</f>
        <v>1.2</v>
      </c>
      <c r="F99" s="126">
        <f>+'Pricing sheet'!M109</f>
        <v>1210.8141994666667</v>
      </c>
      <c r="G99" s="126">
        <f>+'Pricing sheet'!N109</f>
        <v>1289.2141994666667</v>
      </c>
      <c r="H99" s="126">
        <f>+'Pricing sheet'!O109</f>
        <v>1419.5195989333333</v>
      </c>
      <c r="I99" s="178" t="str">
        <f t="shared" si="10"/>
        <v/>
      </c>
      <c r="S99" s="175" t="str">
        <f t="shared" si="9"/>
        <v/>
      </c>
      <c r="T99" s="176"/>
      <c r="U99" s="175" t="str">
        <f t="shared" si="7"/>
        <v/>
      </c>
      <c r="V99" s="175" t="str">
        <f t="shared" si="8"/>
        <v/>
      </c>
      <c r="AB99" s="158"/>
      <c r="AC99" s="158"/>
    </row>
    <row r="100" spans="1:29" x14ac:dyDescent="0.25">
      <c r="A100" s="1" t="str">
        <f>+'Pricing sheet'!A110</f>
        <v>IT.57</v>
      </c>
      <c r="B100" s="75" t="str">
        <f>+'Pricing sheet'!B110</f>
        <v>BOUTON PALIER AVEC AFFICHEUR</v>
      </c>
      <c r="C100" s="75" t="str">
        <f>+'Pricing sheet'!C110</f>
        <v>BOUTONS</v>
      </c>
      <c r="D100" s="75" t="str">
        <f>+'Pricing sheet'!D110</f>
        <v>Pc</v>
      </c>
      <c r="E100" s="75">
        <f>+'Pricing sheet'!E110</f>
        <v>1.5</v>
      </c>
      <c r="F100" s="126">
        <f>+'Pricing sheet'!M110</f>
        <v>96.86287402325334</v>
      </c>
      <c r="G100" s="126">
        <f>+'Pricing sheet'!N110</f>
        <v>103.13487402325335</v>
      </c>
      <c r="H100" s="126">
        <f>+'Pricing sheet'!O110</f>
        <v>113.55704404650668</v>
      </c>
      <c r="I100" s="178" t="str">
        <f t="shared" si="10"/>
        <v/>
      </c>
      <c r="S100" s="175" t="str">
        <f t="shared" si="9"/>
        <v/>
      </c>
      <c r="T100" s="176"/>
      <c r="U100" s="175" t="str">
        <f t="shared" si="7"/>
        <v/>
      </c>
      <c r="V100" s="175" t="str">
        <f t="shared" si="8"/>
        <v/>
      </c>
      <c r="AB100" s="158"/>
      <c r="AC100" s="158"/>
    </row>
    <row r="101" spans="1:29" x14ac:dyDescent="0.25">
      <c r="A101" s="1" t="str">
        <f>+'Pricing sheet'!A111</f>
        <v>IT.58</v>
      </c>
      <c r="B101" s="75" t="str">
        <f>+'Pricing sheet'!B111</f>
        <v>BOUTON PALIER</v>
      </c>
      <c r="C101" s="75" t="str">
        <f>+'Pricing sheet'!C111</f>
        <v>BOUTONS</v>
      </c>
      <c r="D101" s="75" t="str">
        <f>+'Pricing sheet'!D111</f>
        <v>Pc</v>
      </c>
      <c r="E101" s="75">
        <f>+'Pricing sheet'!E111</f>
        <v>1</v>
      </c>
      <c r="F101" s="126">
        <f>+'Pricing sheet'!M111</f>
        <v>62.052733388286676</v>
      </c>
      <c r="G101" s="126">
        <f>+'Pricing sheet'!N111</f>
        <v>66.070733388286669</v>
      </c>
      <c r="H101" s="126">
        <f>+'Pricing sheet'!O111</f>
        <v>72.747390776573326</v>
      </c>
      <c r="I101" s="178" t="str">
        <f t="shared" si="10"/>
        <v/>
      </c>
      <c r="S101" s="175" t="str">
        <f t="shared" si="9"/>
        <v/>
      </c>
      <c r="T101" s="176"/>
      <c r="U101" s="175" t="str">
        <f t="shared" si="7"/>
        <v/>
      </c>
      <c r="V101" s="175" t="str">
        <f t="shared" si="8"/>
        <v/>
      </c>
      <c r="AB101" s="158"/>
      <c r="AC101" s="158"/>
    </row>
    <row r="102" spans="1:29" x14ac:dyDescent="0.25">
      <c r="A102" s="1" t="str">
        <f>+'Pricing sheet'!A112</f>
        <v>IT.59</v>
      </c>
      <c r="B102" s="75" t="str">
        <f>+'Pricing sheet'!B112</f>
        <v>INDICATEURS D’ATTERISSAGE</v>
      </c>
      <c r="C102" s="75" t="str">
        <f>+'Pricing sheet'!C112</f>
        <v>AUTRES</v>
      </c>
      <c r="D102" s="75" t="str">
        <f>+'Pricing sheet'!D112</f>
        <v>Pc</v>
      </c>
      <c r="E102" s="75">
        <f>+'Pricing sheet'!E112</f>
        <v>1.2</v>
      </c>
      <c r="F102" s="126">
        <f>+'Pricing sheet'!M112</f>
        <v>118.05168015368001</v>
      </c>
      <c r="G102" s="126">
        <f>+'Pricing sheet'!N112</f>
        <v>125.69568015368</v>
      </c>
      <c r="H102" s="126">
        <f>+'Pricing sheet'!O112</f>
        <v>138.39775230736001</v>
      </c>
      <c r="I102" s="178">
        <f t="shared" si="10"/>
        <v>1</v>
      </c>
      <c r="S102" s="175" t="str">
        <f t="shared" si="9"/>
        <v/>
      </c>
      <c r="T102" s="176"/>
      <c r="U102" s="175" t="str">
        <f t="shared" si="7"/>
        <v/>
      </c>
      <c r="V102" s="175" t="str">
        <f t="shared" si="8"/>
        <v/>
      </c>
      <c r="AB102" s="170"/>
      <c r="AC102" s="179">
        <v>1</v>
      </c>
    </row>
    <row r="103" spans="1:29" x14ac:dyDescent="0.25">
      <c r="A103" s="1" t="str">
        <f>+'Pricing sheet'!A113</f>
        <v>IT.60</v>
      </c>
      <c r="B103" s="75" t="str">
        <f>+'Pricing sheet'!B113</f>
        <v>BOÎTE D'ALARME</v>
      </c>
      <c r="C103" s="75" t="str">
        <f>+'Pricing sheet'!C113</f>
        <v>AUTRES</v>
      </c>
      <c r="D103" s="75" t="str">
        <f>+'Pricing sheet'!D113</f>
        <v>Pc</v>
      </c>
      <c r="E103" s="75">
        <f>+'Pricing sheet'!E113</f>
        <v>1</v>
      </c>
      <c r="F103" s="126">
        <f>+'Pricing sheet'!M113</f>
        <v>30.269605874666667</v>
      </c>
      <c r="G103" s="126">
        <f>+'Pricing sheet'!N113</f>
        <v>32.229605874666667</v>
      </c>
      <c r="H103" s="126">
        <f>+'Pricing sheet'!O113</f>
        <v>35.486491749333339</v>
      </c>
      <c r="I103" s="178">
        <f t="shared" si="10"/>
        <v>25</v>
      </c>
      <c r="S103" s="175" t="str">
        <f t="shared" si="9"/>
        <v/>
      </c>
      <c r="T103" s="176"/>
      <c r="U103" s="175" t="str">
        <f t="shared" si="7"/>
        <v/>
      </c>
      <c r="V103" s="175" t="str">
        <f t="shared" si="8"/>
        <v/>
      </c>
      <c r="AB103" s="179">
        <f>+INT((450+G2*40)/31)+1</f>
        <v>25</v>
      </c>
      <c r="AC103" s="158"/>
    </row>
    <row r="104" spans="1:29" x14ac:dyDescent="0.25">
      <c r="A104" s="1" t="str">
        <f>+'Pricing sheet'!A114</f>
        <v>IT.61</v>
      </c>
      <c r="B104" s="75" t="str">
        <f>+'Pricing sheet'!B114</f>
        <v>BOUTON DE SECOURS</v>
      </c>
      <c r="C104" s="75" t="str">
        <f>+'Pricing sheet'!C114</f>
        <v>AUTRES</v>
      </c>
      <c r="D104" s="75" t="str">
        <f>+'Pricing sheet'!D114</f>
        <v>Pc</v>
      </c>
      <c r="E104" s="75">
        <f>+'Pricing sheet'!E114</f>
        <v>0.4</v>
      </c>
      <c r="F104" s="126">
        <f>+'Pricing sheet'!M114</f>
        <v>24.215681626453339</v>
      </c>
      <c r="G104" s="126">
        <f>+'Pricing sheet'!N114</f>
        <v>25.783681626453337</v>
      </c>
      <c r="H104" s="126">
        <f>+'Pricing sheet'!O114</f>
        <v>28.38918725290667</v>
      </c>
      <c r="I104" s="178" t="str">
        <f t="shared" si="10"/>
        <v/>
      </c>
      <c r="S104" s="175" t="str">
        <f t="shared" si="9"/>
        <v/>
      </c>
      <c r="T104" s="176"/>
      <c r="U104" s="175" t="str">
        <f t="shared" si="7"/>
        <v/>
      </c>
      <c r="V104" s="175" t="str">
        <f t="shared" si="8"/>
        <v/>
      </c>
    </row>
    <row r="105" spans="1:29" x14ac:dyDescent="0.25">
      <c r="A105" s="1" t="str">
        <f>+'Pricing sheet'!A115</f>
        <v>IT.62</v>
      </c>
      <c r="B105" s="75" t="str">
        <f>+'Pricing sheet'!B115</f>
        <v xml:space="preserve">ROLLER SWITCH </v>
      </c>
      <c r="C105" s="75" t="str">
        <f>+'Pricing sheet'!C115</f>
        <v>AUTRES</v>
      </c>
      <c r="D105" s="75" t="str">
        <f>+'Pricing sheet'!D115</f>
        <v>Pc</v>
      </c>
      <c r="E105" s="75">
        <f>+'Pricing sheet'!E115</f>
        <v>0.6</v>
      </c>
      <c r="F105" s="126">
        <f>+'Pricing sheet'!M115</f>
        <v>37.837013345833334</v>
      </c>
      <c r="G105" s="126">
        <f>+'Pricing sheet'!N115</f>
        <v>40.287013345833337</v>
      </c>
      <c r="H105" s="126">
        <f>+'Pricing sheet'!O115</f>
        <v>44.358126691666669</v>
      </c>
      <c r="I105" s="178" t="str">
        <f t="shared" si="10"/>
        <v/>
      </c>
      <c r="S105" s="175" t="str">
        <f t="shared" si="9"/>
        <v/>
      </c>
      <c r="T105" s="176"/>
      <c r="U105" s="175" t="str">
        <f t="shared" si="7"/>
        <v/>
      </c>
      <c r="V105" s="175" t="str">
        <f t="shared" si="8"/>
        <v/>
      </c>
    </row>
    <row r="106" spans="1:29" x14ac:dyDescent="0.25">
      <c r="A106" s="1" t="str">
        <f>+'Pricing sheet'!A116</f>
        <v>IT.63</v>
      </c>
      <c r="B106" s="75" t="str">
        <f>+'Pricing sheet'!B116</f>
        <v>LIMIT SWITCH</v>
      </c>
      <c r="C106" s="75" t="str">
        <f>+'Pricing sheet'!C116</f>
        <v>AUTRES</v>
      </c>
      <c r="D106" s="75" t="str">
        <f>+'Pricing sheet'!D116</f>
        <v>Pc</v>
      </c>
      <c r="E106" s="75">
        <f>+'Pricing sheet'!E116</f>
        <v>0.5</v>
      </c>
      <c r="F106" s="126">
        <f>+'Pricing sheet'!M116</f>
        <v>0</v>
      </c>
      <c r="G106" s="126">
        <f>+'Pricing sheet'!N116</f>
        <v>0</v>
      </c>
      <c r="H106" s="126">
        <f>+'Pricing sheet'!O116</f>
        <v>0</v>
      </c>
      <c r="I106" s="178" t="str">
        <f t="shared" si="10"/>
        <v/>
      </c>
      <c r="S106" s="175" t="str">
        <f t="shared" si="9"/>
        <v/>
      </c>
      <c r="T106" s="176"/>
      <c r="U106" s="175" t="str">
        <f t="shared" si="7"/>
        <v/>
      </c>
      <c r="V106" s="175" t="str">
        <f t="shared" si="8"/>
        <v/>
      </c>
    </row>
    <row r="107" spans="1:29" x14ac:dyDescent="0.25">
      <c r="A107" s="1" t="str">
        <f>+'Pricing sheet'!A117</f>
        <v>IT.64</v>
      </c>
      <c r="B107" s="75" t="str">
        <f>+'Pricing sheet'!B117</f>
        <v>PHOTOCELLULE</v>
      </c>
      <c r="C107" s="75" t="str">
        <f>+'Pricing sheet'!C117</f>
        <v>AUTRES</v>
      </c>
      <c r="D107" s="75" t="str">
        <f>+'Pricing sheet'!D117</f>
        <v>Pc</v>
      </c>
      <c r="E107" s="75">
        <f>+'Pricing sheet'!E117</f>
        <v>0.8</v>
      </c>
      <c r="F107" s="126">
        <f>+'Pricing sheet'!M117</f>
        <v>802.15753548466682</v>
      </c>
      <c r="G107" s="126">
        <f>+'Pricing sheet'!N117</f>
        <v>854.09753548466676</v>
      </c>
      <c r="H107" s="126">
        <f>+'Pricing sheet'!O117</f>
        <v>940.41799096933346</v>
      </c>
      <c r="I107" s="178" t="str">
        <f t="shared" si="10"/>
        <v/>
      </c>
      <c r="S107" s="175" t="str">
        <f t="shared" si="9"/>
        <v/>
      </c>
      <c r="T107" s="176"/>
      <c r="U107" s="175" t="str">
        <f t="shared" si="7"/>
        <v/>
      </c>
      <c r="V107" s="175" t="str">
        <f t="shared" si="8"/>
        <v/>
      </c>
    </row>
    <row r="108" spans="1:29" x14ac:dyDescent="0.25">
      <c r="A108" s="1" t="str">
        <f>+'Pricing sheet'!A118</f>
        <v>IT.65</v>
      </c>
      <c r="B108" s="75" t="str">
        <f>+'Pricing sheet'!B118</f>
        <v>OPERATEUR CARTE ARKEL KM-10</v>
      </c>
      <c r="C108" s="75" t="str">
        <f>+'Pricing sheet'!C118</f>
        <v>AUTRES</v>
      </c>
      <c r="D108" s="75" t="str">
        <f>+'Pricing sheet'!D118</f>
        <v>Pc</v>
      </c>
      <c r="E108" s="75">
        <f>+'Pricing sheet'!E118</f>
        <v>3</v>
      </c>
      <c r="F108" s="126">
        <f>+'Pricing sheet'!M118</f>
        <v>908.10488720000012</v>
      </c>
      <c r="G108" s="126">
        <f>+'Pricing sheet'!N118</f>
        <v>966.90488720000008</v>
      </c>
      <c r="H108" s="126">
        <f>+'Pricing sheet'!O118</f>
        <v>1064.6281744</v>
      </c>
      <c r="I108" s="178" t="str">
        <f t="shared" si="10"/>
        <v/>
      </c>
      <c r="S108" s="175" t="str">
        <f t="shared" si="9"/>
        <v/>
      </c>
      <c r="T108" s="176"/>
      <c r="U108" s="175" t="str">
        <f t="shared" si="7"/>
        <v/>
      </c>
      <c r="V108" s="175" t="str">
        <f t="shared" si="8"/>
        <v/>
      </c>
    </row>
    <row r="109" spans="1:29" x14ac:dyDescent="0.25">
      <c r="A109" s="1" t="str">
        <f>+'Pricing sheet'!A119</f>
        <v>IT.66</v>
      </c>
      <c r="B109" s="75" t="str">
        <f>+'Pricing sheet'!B119</f>
        <v>OPERATEUR CARTE KM-10 COPY</v>
      </c>
      <c r="C109" s="75" t="str">
        <f>+'Pricing sheet'!C119</f>
        <v>AUTRES</v>
      </c>
      <c r="D109" s="75" t="str">
        <f>+'Pricing sheet'!D119</f>
        <v>Pc</v>
      </c>
      <c r="E109" s="75">
        <f>+'Pricing sheet'!E119</f>
        <v>2.5</v>
      </c>
      <c r="F109" s="126">
        <f>+'Pricing sheet'!M119</f>
        <v>544.85878339200008</v>
      </c>
      <c r="G109" s="126">
        <f>+'Pricing sheet'!N119</f>
        <v>580.13878339200005</v>
      </c>
      <c r="H109" s="126">
        <f>+'Pricing sheet'!O119</f>
        <v>638.76860678399999</v>
      </c>
      <c r="I109" s="178" t="str">
        <f t="shared" si="10"/>
        <v/>
      </c>
      <c r="S109" s="175" t="str">
        <f t="shared" si="9"/>
        <v/>
      </c>
      <c r="T109" s="176"/>
      <c r="U109" s="175" t="str">
        <f t="shared" si="7"/>
        <v/>
      </c>
      <c r="V109" s="175" t="str">
        <f t="shared" si="8"/>
        <v/>
      </c>
    </row>
    <row r="110" spans="1:29" x14ac:dyDescent="0.25">
      <c r="A110" s="1" t="str">
        <f>+'Pricing sheet'!A120</f>
        <v>IT.67</v>
      </c>
      <c r="B110" s="75" t="str">
        <f>+'Pricing sheet'!B120</f>
        <v>REGULATEUR DE VITESSE VVVF 1,0M/S</v>
      </c>
      <c r="C110" s="75" t="str">
        <f>+'Pricing sheet'!C120</f>
        <v>AUTRES</v>
      </c>
      <c r="D110" s="75" t="str">
        <f>+'Pricing sheet'!D120</f>
        <v>Pc</v>
      </c>
      <c r="E110" s="75">
        <f>+'Pricing sheet'!E120</f>
        <v>38</v>
      </c>
      <c r="F110" s="126">
        <f>+'Pricing sheet'!M120</f>
        <v>973.71488720000013</v>
      </c>
      <c r="G110" s="126">
        <f>+'Pricing sheet'!N120</f>
        <v>1032.5148872000002</v>
      </c>
      <c r="H110" s="126">
        <f>+'Pricing sheet'!O120</f>
        <v>1130.2381743999999</v>
      </c>
      <c r="I110" s="178" t="str">
        <f t="shared" si="10"/>
        <v/>
      </c>
      <c r="S110" s="175" t="str">
        <f t="shared" si="9"/>
        <v/>
      </c>
      <c r="T110" s="176"/>
      <c r="U110" s="175" t="str">
        <f t="shared" si="7"/>
        <v/>
      </c>
      <c r="V110" s="175" t="str">
        <f t="shared" si="8"/>
        <v/>
      </c>
    </row>
    <row r="111" spans="1:29" x14ac:dyDescent="0.25">
      <c r="A111" s="1" t="str">
        <f>+'Pricing sheet'!A121</f>
        <v>IT.68</v>
      </c>
      <c r="B111" s="75" t="str">
        <f>+'Pricing sheet'!B121</f>
        <v>REGULATEUR DE VITESSE 2V  1,0M/S-0,8M/S</v>
      </c>
      <c r="C111" s="75" t="str">
        <f>+'Pricing sheet'!C121</f>
        <v>AUTRES</v>
      </c>
      <c r="D111" s="75" t="str">
        <f>+'Pricing sheet'!D121</f>
        <v>Pc</v>
      </c>
      <c r="E111" s="75">
        <f>+'Pricing sheet'!E121</f>
        <v>42</v>
      </c>
      <c r="F111" s="126">
        <f>+'Pricing sheet'!M121</f>
        <v>947.1269025178334</v>
      </c>
      <c r="G111" s="126">
        <f>+'Pricing sheet'!N121</f>
        <v>1002.4969025178334</v>
      </c>
      <c r="H111" s="126">
        <f>+'Pricing sheet'!O121</f>
        <v>1094.5187150356667</v>
      </c>
      <c r="I111" s="178" t="str">
        <f t="shared" si="10"/>
        <v/>
      </c>
      <c r="S111" s="175" t="str">
        <f t="shared" si="9"/>
        <v/>
      </c>
      <c r="T111" s="176"/>
      <c r="U111" s="175" t="str">
        <f t="shared" si="7"/>
        <v/>
      </c>
      <c r="V111" s="175" t="str">
        <f t="shared" si="8"/>
        <v/>
      </c>
    </row>
    <row r="112" spans="1:29" x14ac:dyDescent="0.25">
      <c r="A112" s="1" t="str">
        <f>+'Pricing sheet'!A122</f>
        <v>IT.69</v>
      </c>
      <c r="B112" s="75" t="str">
        <f>+'Pricing sheet'!B122</f>
        <v>ARMOIRE VVVF EEM MONARCH + BOITE INSPECTION + ALARM MAX4 MAX6 MAX8</v>
      </c>
      <c r="C112" s="75" t="str">
        <f>+'Pricing sheet'!C122</f>
        <v>ARMOIRE</v>
      </c>
      <c r="D112" s="75" t="str">
        <f>+'Pricing sheet'!D122</f>
        <v>SET</v>
      </c>
      <c r="E112" s="75">
        <f>+'Pricing sheet'!E122</f>
        <v>95</v>
      </c>
      <c r="F112" s="126">
        <f>+'Pricing sheet'!M122</f>
        <v>9461.1216145833332</v>
      </c>
      <c r="G112" s="126">
        <f>+'Pricing sheet'!N122</f>
        <v>10073.621614583333</v>
      </c>
      <c r="H112" s="126">
        <f>+'Pricing sheet'!O122</f>
        <v>11093.268229166666</v>
      </c>
      <c r="I112" s="178" t="str">
        <f t="shared" si="10"/>
        <v/>
      </c>
      <c r="S112" s="175" t="str">
        <f t="shared" si="9"/>
        <v/>
      </c>
      <c r="T112" s="176"/>
      <c r="U112" s="175" t="str">
        <f t="shared" si="7"/>
        <v/>
      </c>
      <c r="V112" s="175" t="str">
        <f t="shared" si="8"/>
        <v/>
      </c>
    </row>
    <row r="113" spans="1:22" x14ac:dyDescent="0.25">
      <c r="A113" s="1" t="str">
        <f>+'Pricing sheet'!A123</f>
        <v>IT.70</v>
      </c>
      <c r="B113" s="75" t="str">
        <f>+'Pricing sheet'!B123</f>
        <v>ARMOIRE VVVF EEM MONARCH + BOITE INSPECTION + ALARM MAX10</v>
      </c>
      <c r="C113" s="75" t="str">
        <f>+'Pricing sheet'!C123</f>
        <v>ARMOIRE</v>
      </c>
      <c r="D113" s="75" t="str">
        <f>+'Pricing sheet'!D123</f>
        <v>SET</v>
      </c>
      <c r="E113" s="75">
        <f>+'Pricing sheet'!E123</f>
        <v>120</v>
      </c>
      <c r="F113" s="126">
        <f>+'Pricing sheet'!M123</f>
        <v>9461.1216145833332</v>
      </c>
      <c r="G113" s="126">
        <f>+'Pricing sheet'!N123</f>
        <v>10073.621614583333</v>
      </c>
      <c r="H113" s="126">
        <f>+'Pricing sheet'!O123</f>
        <v>11093.268229166666</v>
      </c>
      <c r="I113" s="178" t="str">
        <f t="shared" si="10"/>
        <v/>
      </c>
      <c r="S113" s="175" t="str">
        <f t="shared" si="9"/>
        <v/>
      </c>
      <c r="T113" s="176"/>
      <c r="U113" s="175" t="str">
        <f t="shared" si="7"/>
        <v/>
      </c>
      <c r="V113" s="175" t="str">
        <f t="shared" si="8"/>
        <v/>
      </c>
    </row>
    <row r="114" spans="1:22" x14ac:dyDescent="0.25">
      <c r="A114" s="1" t="str">
        <f>+'Pricing sheet'!A124</f>
        <v>IT.71</v>
      </c>
      <c r="B114" s="75" t="str">
        <f>+'Pricing sheet'!B124</f>
        <v>ARMOIRE 2V EEM + BOITE INSPECTION + ALARM MAX4 MAX6 MAX8</v>
      </c>
      <c r="C114" s="75" t="str">
        <f>+'Pricing sheet'!C124</f>
        <v>ARMOIRE</v>
      </c>
      <c r="D114" s="75" t="str">
        <f>+'Pricing sheet'!D124</f>
        <v>SET</v>
      </c>
      <c r="E114" s="75">
        <f>+'Pricing sheet'!E124</f>
        <v>110</v>
      </c>
      <c r="F114" s="126">
        <f>+'Pricing sheet'!M124</f>
        <v>5751.9148754666676</v>
      </c>
      <c r="G114" s="126">
        <f>+'Pricing sheet'!N124</f>
        <v>6124.3148754666672</v>
      </c>
      <c r="H114" s="126">
        <f>+'Pricing sheet'!O124</f>
        <v>6743.8129509333339</v>
      </c>
      <c r="I114" s="178" t="str">
        <f t="shared" si="10"/>
        <v/>
      </c>
    </row>
    <row r="115" spans="1:22" x14ac:dyDescent="0.25">
      <c r="A115" s="1" t="str">
        <f>+'Pricing sheet'!A125</f>
        <v>IT.72</v>
      </c>
      <c r="B115" s="75" t="str">
        <f>+'Pricing sheet'!B125</f>
        <v>ARMOIRE 2V EEM + BOITE INSPECTION + ALARM MAX10</v>
      </c>
      <c r="C115" s="75" t="str">
        <f>+'Pricing sheet'!C125</f>
        <v>ARMOIRE</v>
      </c>
      <c r="D115" s="75" t="str">
        <f>+'Pricing sheet'!D125</f>
        <v>SET</v>
      </c>
      <c r="E115" s="75">
        <f>+'Pricing sheet'!E125</f>
        <v>135</v>
      </c>
      <c r="F115" s="126">
        <f>+'Pricing sheet'!M125</f>
        <v>5751.9148754666676</v>
      </c>
      <c r="G115" s="126">
        <f>+'Pricing sheet'!N125</f>
        <v>6124.3148754666672</v>
      </c>
      <c r="H115" s="126">
        <f>+'Pricing sheet'!O125</f>
        <v>6743.8129509333339</v>
      </c>
      <c r="I115" s="178" t="str">
        <f t="shared" si="10"/>
        <v/>
      </c>
    </row>
    <row r="116" spans="1:22" x14ac:dyDescent="0.25">
      <c r="A116" s="1" t="str">
        <f>+'Pricing sheet'!A126</f>
        <v>IT.73</v>
      </c>
      <c r="B116" s="75" t="str">
        <f>+'Pricing sheet'!B126</f>
        <v>UPS</v>
      </c>
      <c r="C116" s="75" t="str">
        <f>+'Pricing sheet'!C126</f>
        <v>AUTRES</v>
      </c>
      <c r="D116" s="75" t="str">
        <f>+'Pricing sheet'!D126</f>
        <v>Pc</v>
      </c>
      <c r="E116" s="75">
        <f>+'Pricing sheet'!E126</f>
        <v>25</v>
      </c>
      <c r="F116" s="126">
        <f>+'Pricing sheet'!M126</f>
        <v>1135.13651125</v>
      </c>
      <c r="G116" s="126">
        <f>+'Pricing sheet'!N126</f>
        <v>1208.63651125</v>
      </c>
      <c r="H116" s="126">
        <f>+'Pricing sheet'!O126</f>
        <v>1330.7960224999999</v>
      </c>
      <c r="I116" s="178" t="str">
        <f t="shared" si="10"/>
        <v/>
      </c>
    </row>
    <row r="117" spans="1:22" x14ac:dyDescent="0.25">
      <c r="A117" s="1" t="str">
        <f>+'Pricing sheet'!A127</f>
        <v>IT.74</v>
      </c>
      <c r="B117" s="75" t="str">
        <f>+'Pricing sheet'!B127</f>
        <v>CHASSIS MOTEUR STANDARD VVVF 2V AVEC CYLINBLOC</v>
      </c>
      <c r="C117" s="75" t="str">
        <f>+'Pricing sheet'!C127</f>
        <v>MOTEUR</v>
      </c>
      <c r="D117" s="75" t="str">
        <f>+'Pricing sheet'!D127</f>
        <v>SET</v>
      </c>
      <c r="E117" s="75">
        <f>+'Pricing sheet'!E127</f>
        <v>75</v>
      </c>
      <c r="F117" s="126" t="e">
        <f>+'Pricing sheet'!M127</f>
        <v>#REF!</v>
      </c>
      <c r="G117" s="126" t="e">
        <f>+'Pricing sheet'!N127</f>
        <v>#REF!</v>
      </c>
      <c r="H117" s="126" t="e">
        <f>+'Pricing sheet'!O127</f>
        <v>#REF!</v>
      </c>
      <c r="I117" s="178" t="str">
        <f t="shared" si="10"/>
        <v/>
      </c>
    </row>
    <row r="118" spans="1:22" x14ac:dyDescent="0.25">
      <c r="A118" s="1" t="str">
        <f>+'Pricing sheet'!A128</f>
        <v>IT.75</v>
      </c>
      <c r="B118" s="75" t="str">
        <f>+'Pricing sheet'!B128</f>
        <v>CHASSIS MOTEUR GEARLESS</v>
      </c>
      <c r="C118" s="75" t="str">
        <f>+'Pricing sheet'!C128</f>
        <v>MOTEUR</v>
      </c>
      <c r="D118" s="75" t="str">
        <f>+'Pricing sheet'!D128</f>
        <v>SET</v>
      </c>
      <c r="E118" s="75">
        <f>+'Pricing sheet'!E128</f>
        <v>260</v>
      </c>
      <c r="F118" s="126">
        <f>+'Pricing sheet'!M128</f>
        <v>3972.3234583333333</v>
      </c>
      <c r="G118" s="126">
        <f>+'Pricing sheet'!N128</f>
        <v>4217.3234583333333</v>
      </c>
      <c r="H118" s="126">
        <f>+'Pricing sheet'!O128</f>
        <v>4624.7319166666666</v>
      </c>
      <c r="I118" s="178" t="str">
        <f t="shared" si="10"/>
        <v/>
      </c>
    </row>
    <row r="119" spans="1:22" x14ac:dyDescent="0.25">
      <c r="A119" s="1" t="str">
        <f>+'Pricing sheet'!A129</f>
        <v>IT.76</v>
      </c>
      <c r="B119" s="75" t="str">
        <f>+'Pricing sheet'!B129</f>
        <v>ARMOIRE GEARLESS EEM + BOITE INSPECTION + ALARM MAX4 MAX6 MAX8</v>
      </c>
      <c r="C119" s="75" t="str">
        <f>+'Pricing sheet'!C129</f>
        <v>ARMOIRE</v>
      </c>
      <c r="D119" s="75" t="str">
        <f>+'Pricing sheet'!D129</f>
        <v>SET</v>
      </c>
      <c r="E119" s="75">
        <f>+'Pricing sheet'!E129</f>
        <v>32</v>
      </c>
      <c r="F119" s="126">
        <f>+'Pricing sheet'!M129</f>
        <v>11050.958119133335</v>
      </c>
      <c r="G119" s="126">
        <f>+'Pricing sheet'!N129</f>
        <v>11766.358119133336</v>
      </c>
      <c r="H119" s="126">
        <f>+'Pricing sheet'!O129</f>
        <v>12957.673438266669</v>
      </c>
      <c r="I119" s="178" t="str">
        <f t="shared" si="10"/>
        <v/>
      </c>
    </row>
    <row r="120" spans="1:22" x14ac:dyDescent="0.25">
      <c r="A120" s="1" t="str">
        <f>+'Pricing sheet'!A130</f>
        <v>IT.77</v>
      </c>
      <c r="B120" s="75" t="str">
        <f>+'Pricing sheet'!B130</f>
        <v>ARMOIRE GEARLESS EEM + BOITE INSPECTION + ALARM MAX10</v>
      </c>
      <c r="C120" s="75" t="str">
        <f>+'Pricing sheet'!C130</f>
        <v>ARMOIRE</v>
      </c>
      <c r="D120" s="75" t="str">
        <f>+'Pricing sheet'!D130</f>
        <v>SET</v>
      </c>
      <c r="E120" s="75">
        <f>+'Pricing sheet'!E130</f>
        <v>260</v>
      </c>
      <c r="F120" s="126">
        <f>+'Pricing sheet'!M130</f>
        <v>11050.958119133335</v>
      </c>
      <c r="G120" s="126">
        <f>+'Pricing sheet'!N130</f>
        <v>11766.358119133336</v>
      </c>
      <c r="H120" s="126">
        <f>+'Pricing sheet'!O130</f>
        <v>12957.673438266669</v>
      </c>
      <c r="I120" s="178" t="str">
        <f t="shared" si="10"/>
        <v/>
      </c>
    </row>
    <row r="121" spans="1:22" x14ac:dyDescent="0.25">
      <c r="A121" s="1" t="str">
        <f>+'Pricing sheet'!A131</f>
        <v>IT.78</v>
      </c>
      <c r="B121" s="75" t="str">
        <f>+'Pricing sheet'!B131</f>
        <v>OPERATEUR 60CM ATERYA</v>
      </c>
      <c r="C121" s="75" t="str">
        <f>+'Pricing sheet'!C131</f>
        <v>OPÉRATEUR</v>
      </c>
      <c r="D121" s="75" t="str">
        <f>+'Pricing sheet'!D131</f>
        <v>Pc</v>
      </c>
      <c r="E121" s="75">
        <f>+'Pricing sheet'!E131</f>
        <v>1.5</v>
      </c>
      <c r="F121" s="126">
        <f>+'Pricing sheet'!M131</f>
        <v>6054.6856533333339</v>
      </c>
      <c r="G121" s="126">
        <f>+'Pricing sheet'!N131</f>
        <v>6446.6856533333339</v>
      </c>
      <c r="H121" s="126">
        <f>+'Pricing sheet'!O131</f>
        <v>7098.8273066666679</v>
      </c>
      <c r="I121" s="178" t="str">
        <f t="shared" si="10"/>
        <v/>
      </c>
    </row>
    <row r="122" spans="1:22" x14ac:dyDescent="0.25">
      <c r="A122" s="1" t="str">
        <f>+'Pricing sheet'!A132</f>
        <v>IT.79</v>
      </c>
      <c r="B122" s="75" t="str">
        <f>+'Pricing sheet'!B132</f>
        <v>CABINE 90*62CM</v>
      </c>
      <c r="C122" s="75" t="str">
        <f>+'Pricing sheet'!C132</f>
        <v>CABINE &amp; ARCADE</v>
      </c>
      <c r="D122" s="75" t="str">
        <f>+'Pricing sheet'!D132</f>
        <v>Pc</v>
      </c>
      <c r="E122" s="75">
        <f>+'Pricing sheet'!E132</f>
        <v>420</v>
      </c>
      <c r="F122" s="126">
        <f>+'Pricing sheet'!M132</f>
        <v>15241.153619999999</v>
      </c>
      <c r="G122" s="126">
        <f>+'Pricing sheet'!N132</f>
        <v>16123.153619999999</v>
      </c>
      <c r="H122" s="126">
        <f>+'Pricing sheet'!O132</f>
        <v>17592.633239999999</v>
      </c>
      <c r="I122" s="178" t="str">
        <f t="shared" si="10"/>
        <v/>
      </c>
    </row>
    <row r="123" spans="1:22" x14ac:dyDescent="0.25">
      <c r="A123" s="1" t="str">
        <f>+'Pricing sheet'!A133</f>
        <v>IT.80</v>
      </c>
      <c r="B123" s="75" t="str">
        <f>+'Pricing sheet'!B133</f>
        <v>CALIBTEURS FIN DE COURSE</v>
      </c>
      <c r="C123" s="75" t="str">
        <f>+'Pricing sheet'!C133</f>
        <v>AUTRES</v>
      </c>
      <c r="D123" s="75" t="str">
        <f>+'Pricing sheet'!D133</f>
        <v>Pc</v>
      </c>
      <c r="E123" s="75">
        <f>+'Pricing sheet'!E133</f>
        <v>1</v>
      </c>
      <c r="F123" s="126">
        <f>+'Pricing sheet'!M133</f>
        <v>60.539250165333335</v>
      </c>
      <c r="G123" s="126">
        <f>+'Pricing sheet'!N133</f>
        <v>64.459250165333344</v>
      </c>
      <c r="H123" s="126">
        <f>+'Pricing sheet'!O133</f>
        <v>70.973060330666669</v>
      </c>
      <c r="I123" s="178" t="str">
        <f t="shared" si="10"/>
        <v/>
      </c>
    </row>
    <row r="124" spans="1:22" x14ac:dyDescent="0.25">
      <c r="A124" s="1" t="str">
        <f>+'Pricing sheet'!A134</f>
        <v>IT.81</v>
      </c>
      <c r="B124" s="75" t="str">
        <f>+'Pricing sheet'!B134</f>
        <v>GOSE 76CM - 31KG</v>
      </c>
      <c r="C124" s="75" t="str">
        <f>+'Pricing sheet'!C134</f>
        <v>GOSE</v>
      </c>
      <c r="D124" s="75" t="str">
        <f>+'Pricing sheet'!D134</f>
        <v>Pc</v>
      </c>
      <c r="E124" s="75">
        <f>+'Pricing sheet'!E134</f>
        <v>31</v>
      </c>
      <c r="F124" s="126">
        <f>+'Pricing sheet'!M134</f>
        <v>68.874993515217867</v>
      </c>
      <c r="G124" s="126">
        <f>+'Pricing sheet'!N134</f>
        <v>70.469943515217864</v>
      </c>
      <c r="H124" s="126">
        <f>+'Pricing sheet'!O134</f>
        <v>77.005784630435741</v>
      </c>
      <c r="I124" s="178" t="str">
        <f t="shared" si="10"/>
        <v/>
      </c>
    </row>
    <row r="125" spans="1:22" x14ac:dyDescent="0.25">
      <c r="A125" s="1" t="str">
        <f>+'Pricing sheet'!A135</f>
        <v>IT.82</v>
      </c>
      <c r="B125" s="75" t="str">
        <f>+'Pricing sheet'!B135</f>
        <v>MOTEUR PRIMO 2V MAX4 + CHASSIS</v>
      </c>
      <c r="C125" s="75" t="str">
        <f>+'Pricing sheet'!C135</f>
        <v>MOTEUR</v>
      </c>
      <c r="D125" s="75" t="str">
        <f>+'Pricing sheet'!D135</f>
        <v>Pc</v>
      </c>
      <c r="E125" s="75">
        <f>+'Pricing sheet'!E135</f>
        <v>560</v>
      </c>
      <c r="F125" s="126" t="e">
        <f>+'Pricing sheet'!M135</f>
        <v>#VALUE!</v>
      </c>
      <c r="G125" s="126" t="e">
        <f>+'Pricing sheet'!N135</f>
        <v>#VALUE!</v>
      </c>
      <c r="H125" s="126" t="e">
        <f>+'Pricing sheet'!O135</f>
        <v>#VALUE!</v>
      </c>
      <c r="I125" s="178" t="str">
        <f t="shared" si="10"/>
        <v/>
      </c>
    </row>
    <row r="126" spans="1:22" x14ac:dyDescent="0.25">
      <c r="A126" s="1" t="str">
        <f>+'Pricing sheet'!A136</f>
        <v>IT.83</v>
      </c>
      <c r="B126" s="75" t="str">
        <f>+'Pricing sheet'!B136</f>
        <v>MOTEUR PRIMO 2V MAX6 + CHASSIS</v>
      </c>
      <c r="C126" s="75" t="str">
        <f>+'Pricing sheet'!C136</f>
        <v>MOTEUR</v>
      </c>
      <c r="D126" s="75" t="str">
        <f>+'Pricing sheet'!D136</f>
        <v>Pc</v>
      </c>
      <c r="E126" s="75">
        <f>+'Pricing sheet'!E136</f>
        <v>140</v>
      </c>
      <c r="F126" s="126" t="e">
        <f>+'Pricing sheet'!M136</f>
        <v>#VALUE!</v>
      </c>
      <c r="G126" s="126" t="e">
        <f>+'Pricing sheet'!N136</f>
        <v>#VALUE!</v>
      </c>
      <c r="H126" s="126" t="e">
        <f>+'Pricing sheet'!O136</f>
        <v>#VALUE!</v>
      </c>
      <c r="I126" s="178" t="str">
        <f t="shared" si="10"/>
        <v/>
      </c>
    </row>
    <row r="127" spans="1:22" x14ac:dyDescent="0.25">
      <c r="A127" s="1" t="str">
        <f>+'Pricing sheet'!A137</f>
        <v>IT.84</v>
      </c>
      <c r="B127" s="75" t="str">
        <f>+'Pricing sheet'!B137</f>
        <v>MOTEUR PRIMO 2V MAX8 + CHASSIS</v>
      </c>
      <c r="C127" s="75" t="str">
        <f>+'Pricing sheet'!C137</f>
        <v>MOTEUR</v>
      </c>
      <c r="D127" s="75" t="str">
        <f>+'Pricing sheet'!D137</f>
        <v>Pc</v>
      </c>
      <c r="E127" s="75">
        <f>+'Pricing sheet'!E137</f>
        <v>135</v>
      </c>
      <c r="F127" s="126" t="e">
        <f>+'Pricing sheet'!M137</f>
        <v>#VALUE!</v>
      </c>
      <c r="G127" s="126" t="e">
        <f>+'Pricing sheet'!N137</f>
        <v>#VALUE!</v>
      </c>
      <c r="H127" s="126" t="e">
        <f>+'Pricing sheet'!O137</f>
        <v>#VALUE!</v>
      </c>
      <c r="I127" s="178" t="str">
        <f t="shared" si="10"/>
        <v/>
      </c>
    </row>
    <row r="128" spans="1:22" x14ac:dyDescent="0.25">
      <c r="A128" s="1" t="str">
        <f>+'Pricing sheet'!A138</f>
        <v>IT.85</v>
      </c>
      <c r="B128" s="75" t="str">
        <f>+'Pricing sheet'!B138</f>
        <v>MOTEUR PRIMO 2V MAX10 + CHASSIS</v>
      </c>
      <c r="C128" s="75" t="str">
        <f>+'Pricing sheet'!C138</f>
        <v>MOTEUR</v>
      </c>
      <c r="D128" s="75" t="str">
        <f>+'Pricing sheet'!D138</f>
        <v>Pc</v>
      </c>
      <c r="E128" s="75">
        <f>+'Pricing sheet'!E138</f>
        <v>35</v>
      </c>
      <c r="F128" s="126" t="e">
        <f>+'Pricing sheet'!M138</f>
        <v>#VALUE!</v>
      </c>
      <c r="G128" s="126" t="e">
        <f>+'Pricing sheet'!N138</f>
        <v>#VALUE!</v>
      </c>
      <c r="H128" s="126" t="e">
        <f>+'Pricing sheet'!O138</f>
        <v>#VALUE!</v>
      </c>
      <c r="I128" s="178" t="str">
        <f t="shared" si="10"/>
        <v/>
      </c>
    </row>
    <row r="129" spans="1:9" x14ac:dyDescent="0.25">
      <c r="A129" s="1" t="str">
        <f>+'Pricing sheet'!A139</f>
        <v>IT.86</v>
      </c>
      <c r="B129" s="75" t="str">
        <f>+'Pricing sheet'!B139</f>
        <v>PORTES CABINE / OPERATEUR *DEAS* INOX 70/80</v>
      </c>
      <c r="C129" s="75" t="str">
        <f>+'Pricing sheet'!C139</f>
        <v>OPÉRATEUR</v>
      </c>
      <c r="D129" s="75" t="str">
        <f>+'Pricing sheet'!D139</f>
        <v>Pc</v>
      </c>
      <c r="E129" s="75">
        <f>+'Pricing sheet'!E139</f>
        <v>110</v>
      </c>
      <c r="F129" s="126">
        <f>+'Pricing sheet'!M139</f>
        <v>5231.1197378000015</v>
      </c>
      <c r="G129" s="126">
        <f>+'Pricing sheet'!N139</f>
        <v>5554.5197378000012</v>
      </c>
      <c r="H129" s="126">
        <f>+'Pricing sheet'!O139</f>
        <v>6092.4256756000013</v>
      </c>
      <c r="I129" s="178" t="str">
        <f t="shared" si="10"/>
        <v/>
      </c>
    </row>
    <row r="130" spans="1:9" x14ac:dyDescent="0.25">
      <c r="A130" s="1" t="str">
        <f>+'Pricing sheet'!A140</f>
        <v>IT.87</v>
      </c>
      <c r="B130" s="75" t="str">
        <f>+'Pricing sheet'!B140</f>
        <v>PORTES PALIERE AUTOMATIQUE INOX *DEAS* 70/80</v>
      </c>
      <c r="C130" s="75" t="str">
        <f>+'Pricing sheet'!C140</f>
        <v>PORTE</v>
      </c>
      <c r="D130" s="75" t="str">
        <f>+'Pricing sheet'!D140</f>
        <v>Pc</v>
      </c>
      <c r="E130" s="75">
        <f>+'Pricing sheet'!E140</f>
        <v>135</v>
      </c>
      <c r="F130" s="126">
        <f>+'Pricing sheet'!M140</f>
        <v>4052.5591012499999</v>
      </c>
      <c r="G130" s="126">
        <f>+'Pricing sheet'!N140</f>
        <v>4273.0591012499999</v>
      </c>
      <c r="H130" s="126">
        <f>+'Pricing sheet'!O140</f>
        <v>4639.6997025000001</v>
      </c>
      <c r="I130" s="178" t="str">
        <f t="shared" si="10"/>
        <v/>
      </c>
    </row>
    <row r="131" spans="1:9" x14ac:dyDescent="0.25">
      <c r="A131" s="1" t="str">
        <f>+'Pricing sheet'!A141</f>
        <v>IT.88</v>
      </c>
      <c r="B131" s="75" t="str">
        <f>+'Pricing sheet'!B141</f>
        <v>PORTES PALIERE AUTOMATIQUE PEINTURE EPOXY *DEAS* 70/80</v>
      </c>
      <c r="C131" s="75" t="str">
        <f>+'Pricing sheet'!C141</f>
        <v>PORTE</v>
      </c>
      <c r="D131" s="75" t="str">
        <f>+'Pricing sheet'!D141</f>
        <v>Pc</v>
      </c>
      <c r="E131" s="75">
        <f>+'Pricing sheet'!E141</f>
        <v>135</v>
      </c>
      <c r="F131" s="126">
        <f>+'Pricing sheet'!M141</f>
        <v>2800.1011151166663</v>
      </c>
      <c r="G131" s="126">
        <f>+'Pricing sheet'!N141</f>
        <v>2981.4011151166665</v>
      </c>
      <c r="H131" s="126">
        <f>+'Pricing sheet'!O141</f>
        <v>3282.8256302333339</v>
      </c>
      <c r="I131" s="178" t="str">
        <f t="shared" si="10"/>
        <v/>
      </c>
    </row>
    <row r="132" spans="1:9" x14ac:dyDescent="0.25">
      <c r="A132" s="1" t="str">
        <f>+'Pricing sheet'!A142</f>
        <v>IT.89</v>
      </c>
      <c r="B132" s="75" t="str">
        <f>+'Pricing sheet'!B142</f>
        <v>PORTE PALIERE AUTOMATIQUE INOX FERMATOR 70</v>
      </c>
      <c r="C132" s="75" t="str">
        <f>+'Pricing sheet'!C142</f>
        <v>PORTE</v>
      </c>
      <c r="D132" s="75" t="str">
        <f>+'Pricing sheet'!D142</f>
        <v>Pc</v>
      </c>
      <c r="E132" s="75">
        <f>+'Pricing sheet'!E142</f>
        <v>135</v>
      </c>
      <c r="F132" s="126">
        <f>+'Pricing sheet'!M142</f>
        <v>6025.5352812500005</v>
      </c>
      <c r="G132" s="126">
        <f>+'Pricing sheet'!N142</f>
        <v>6393.0352812500005</v>
      </c>
      <c r="H132" s="126">
        <f>+'Pricing sheet'!O142</f>
        <v>7004.3730625000007</v>
      </c>
      <c r="I132" s="178" t="str">
        <f t="shared" si="10"/>
        <v/>
      </c>
    </row>
    <row r="133" spans="1:9" x14ac:dyDescent="0.25">
      <c r="A133" s="1" t="str">
        <f>+'Pricing sheet'!A143</f>
        <v>IT.90</v>
      </c>
      <c r="B133" s="75" t="str">
        <f>+'Pricing sheet'!B143</f>
        <v>PORTE PALIERE AUTOMATIQUE EPOXY FERMATOR 70</v>
      </c>
      <c r="C133" s="75" t="str">
        <f>+'Pricing sheet'!C143</f>
        <v>PORTE</v>
      </c>
      <c r="D133" s="75" t="str">
        <f>+'Pricing sheet'!D143</f>
        <v>Pc</v>
      </c>
      <c r="E133" s="75">
        <f>+'Pricing sheet'!E143</f>
        <v>135</v>
      </c>
      <c r="F133" s="126">
        <f>+'Pricing sheet'!M143</f>
        <v>4389.4939148666663</v>
      </c>
      <c r="G133" s="126">
        <f>+'Pricing sheet'!N143</f>
        <v>4673.693914866667</v>
      </c>
      <c r="H133" s="126">
        <f>+'Pricing sheet'!O143</f>
        <v>5146.3434297333333</v>
      </c>
      <c r="I133" s="178" t="str">
        <f t="shared" si="10"/>
        <v/>
      </c>
    </row>
    <row r="134" spans="1:9" x14ac:dyDescent="0.25">
      <c r="A134" s="1" t="str">
        <f>+'Pricing sheet'!A144</f>
        <v>IT.91</v>
      </c>
      <c r="B134" s="75" t="str">
        <f>+'Pricing sheet'!B144</f>
        <v>OPERATEUR INOX FERMATOR 70</v>
      </c>
      <c r="C134" s="75" t="str">
        <f>+'Pricing sheet'!C144</f>
        <v>OPÉRATEUR</v>
      </c>
      <c r="D134" s="75" t="str">
        <f>+'Pricing sheet'!D144</f>
        <v>Pc</v>
      </c>
      <c r="E134" s="75">
        <f>+'Pricing sheet'!E144</f>
        <v>110</v>
      </c>
      <c r="F134" s="126">
        <f>+'Pricing sheet'!M144</f>
        <v>10521.000852716668</v>
      </c>
      <c r="G134" s="126">
        <f>+'Pricing sheet'!N144</f>
        <v>11202.100852716667</v>
      </c>
      <c r="H134" s="126">
        <f>+'Pricing sheet'!O144</f>
        <v>12336.181505433335</v>
      </c>
      <c r="I134" s="178" t="str">
        <f t="shared" si="10"/>
        <v/>
      </c>
    </row>
    <row r="135" spans="1:9" x14ac:dyDescent="0.25">
      <c r="A135" s="1" t="str">
        <f>+'Pricing sheet'!A145</f>
        <v>IT.92</v>
      </c>
      <c r="B135" s="75" t="str">
        <f>+'Pricing sheet'!B145</f>
        <v>AKİŞ ZF60 4KW MAX4 400*4*10 1M/S 51M TRAVEL D, GEARBOX VVVF MAX4</v>
      </c>
      <c r="C135" s="75" t="str">
        <f>+'Pricing sheet'!C145</f>
        <v>MOTEUR</v>
      </c>
      <c r="D135" s="75" t="str">
        <f>+'Pricing sheet'!D145</f>
        <v>Pc</v>
      </c>
      <c r="E135" s="75">
        <f>+'Pricing sheet'!E145</f>
        <v>28</v>
      </c>
      <c r="F135" s="126">
        <f>+'Pricing sheet'!M145</f>
        <v>12398.616734322002</v>
      </c>
      <c r="G135" s="126">
        <f>+'Pricing sheet'!N145</f>
        <v>13201.236734322003</v>
      </c>
      <c r="H135" s="126">
        <f>+'Pricing sheet'!O145</f>
        <v>14538.144628644</v>
      </c>
      <c r="I135" s="178" t="str">
        <f t="shared" si="10"/>
        <v/>
      </c>
    </row>
    <row r="136" spans="1:9" x14ac:dyDescent="0.25">
      <c r="A136" s="1" t="str">
        <f>+'Pricing sheet'!A146</f>
        <v>IT.93</v>
      </c>
      <c r="B136" s="75" t="str">
        <f>+'Pricing sheet'!B146</f>
        <v>AKİŞ VOLPİ VF2 5,5KW MAX6 MAX8 480*5*10 33M TRAVEL D, GEARBOX VVVF</v>
      </c>
      <c r="C136" s="75" t="str">
        <f>+'Pricing sheet'!C146</f>
        <v>MOTEUR</v>
      </c>
      <c r="D136" s="75" t="str">
        <f>+'Pricing sheet'!D146</f>
        <v>Pc</v>
      </c>
      <c r="E136" s="75">
        <f>+'Pricing sheet'!E146</f>
        <v>32</v>
      </c>
      <c r="F136" s="126">
        <f>+'Pricing sheet'!M146</f>
        <v>13909.144750703124</v>
      </c>
      <c r="G136" s="126">
        <f>+'Pricing sheet'!N146</f>
        <v>14809.519750703124</v>
      </c>
      <c r="H136" s="126">
        <f>+'Pricing sheet'!O146</f>
        <v>16309.696251406251</v>
      </c>
      <c r="I136" s="178" t="str">
        <f t="shared" si="10"/>
        <v/>
      </c>
    </row>
    <row r="137" spans="1:9" x14ac:dyDescent="0.25">
      <c r="A137" s="1" t="str">
        <f>+'Pricing sheet'!A147</f>
        <v>IT.94</v>
      </c>
      <c r="B137" s="75" t="str">
        <f>+'Pricing sheet'!B147</f>
        <v>AKİŞ VOLPİ VF2 7,5KW MAX10 480*5*10 33M TRAVEL D, GEARBOX VVVF</v>
      </c>
      <c r="C137" s="75" t="str">
        <f>+'Pricing sheet'!C147</f>
        <v>MOTEUR</v>
      </c>
      <c r="D137" s="75" t="str">
        <f>+'Pricing sheet'!D147</f>
        <v>Pc</v>
      </c>
      <c r="E137" s="75">
        <f>+'Pricing sheet'!E147</f>
        <v>210</v>
      </c>
      <c r="F137" s="126">
        <f>+'Pricing sheet'!M147</f>
        <v>16124.001448449999</v>
      </c>
      <c r="G137" s="126">
        <f>+'Pricing sheet'!N147</f>
        <v>17167.70144845</v>
      </c>
      <c r="H137" s="126">
        <f>+'Pricing sheet'!O147</f>
        <v>18907.4294969</v>
      </c>
      <c r="I137" s="178" t="str">
        <f t="shared" si="10"/>
        <v/>
      </c>
    </row>
    <row r="138" spans="1:9" x14ac:dyDescent="0.25">
      <c r="A138" s="1" t="str">
        <f>+'Pricing sheet'!A148</f>
        <v>IT.95</v>
      </c>
      <c r="B138" s="75" t="str">
        <f>+'Pricing sheet'!B148</f>
        <v>ADRIVE  ARL 300 VVVF + REVİZION BOX + ALARM MAX4 MAX6 MAX8</v>
      </c>
      <c r="C138" s="75" t="str">
        <f>+'Pricing sheet'!C148</f>
        <v>ARMOIRE</v>
      </c>
      <c r="D138" s="75" t="str">
        <f>+'Pricing sheet'!D148</f>
        <v>SET</v>
      </c>
      <c r="E138" s="75">
        <f>+'Pricing sheet'!E148</f>
        <v>0</v>
      </c>
      <c r="F138" s="126" t="e">
        <f>+'Pricing sheet'!M148</f>
        <v>#VALUE!</v>
      </c>
      <c r="G138" s="126" t="e">
        <f>+'Pricing sheet'!N148</f>
        <v>#VALUE!</v>
      </c>
      <c r="H138" s="126" t="e">
        <f>+'Pricing sheet'!O148</f>
        <v>#VALUE!</v>
      </c>
      <c r="I138" s="178" t="str">
        <f t="shared" si="10"/>
        <v/>
      </c>
    </row>
    <row r="139" spans="1:9" x14ac:dyDescent="0.25">
      <c r="A139" s="1" t="str">
        <f>+'Pricing sheet'!A149</f>
        <v>IT.96</v>
      </c>
      <c r="B139" s="75" t="str">
        <f>+'Pricing sheet'!B149</f>
        <v>ADRIVE  ARL 300 VVVF + REVİZION BOX + ALARM MAX10</v>
      </c>
      <c r="C139" s="75" t="str">
        <f>+'Pricing sheet'!C149</f>
        <v>ARMOIRE</v>
      </c>
      <c r="D139" s="75" t="str">
        <f>+'Pricing sheet'!D149</f>
        <v>SET</v>
      </c>
      <c r="E139" s="75">
        <f>+'Pricing sheet'!E149</f>
        <v>0</v>
      </c>
      <c r="F139" s="126" t="e">
        <f>+'Pricing sheet'!M149</f>
        <v>#VALUE!</v>
      </c>
      <c r="G139" s="126" t="e">
        <f>+'Pricing sheet'!N149</f>
        <v>#VALUE!</v>
      </c>
      <c r="H139" s="126" t="e">
        <f>+'Pricing sheet'!O149</f>
        <v>#VALUE!</v>
      </c>
      <c r="I139" s="178" t="str">
        <f t="shared" si="10"/>
        <v/>
      </c>
    </row>
    <row r="140" spans="1:9" x14ac:dyDescent="0.25">
      <c r="A140" s="1" t="str">
        <f>+'Pricing sheet'!A150</f>
        <v>IT.97</v>
      </c>
      <c r="B140" s="75" t="str">
        <f>+'Pricing sheet'!B150</f>
        <v>MOTEUR PRIMO GEARLESS MAX4 MAX6 + CHASSIS</v>
      </c>
      <c r="C140" s="75" t="str">
        <f>+'Pricing sheet'!C150</f>
        <v>MOTEUR</v>
      </c>
      <c r="D140" s="75" t="str">
        <f>+'Pricing sheet'!D150</f>
        <v>Pc</v>
      </c>
      <c r="E140" s="75">
        <f>+'Pricing sheet'!E150</f>
        <v>0</v>
      </c>
      <c r="F140" s="126" t="e">
        <f>+'Pricing sheet'!M150</f>
        <v>#VALUE!</v>
      </c>
      <c r="G140" s="126" t="e">
        <f>+'Pricing sheet'!N150</f>
        <v>#VALUE!</v>
      </c>
      <c r="H140" s="126" t="e">
        <f>+'Pricing sheet'!O150</f>
        <v>#VALUE!</v>
      </c>
      <c r="I140" s="178" t="str">
        <f t="shared" si="10"/>
        <v/>
      </c>
    </row>
    <row r="141" spans="1:9" x14ac:dyDescent="0.25">
      <c r="A141" s="1" t="str">
        <f>+'Pricing sheet'!A151</f>
        <v>IT.98</v>
      </c>
      <c r="B141" s="75" t="str">
        <f>+'Pricing sheet'!B151</f>
        <v>MOTEUR PRIMO VVVF MAX6 + CHASSIS</v>
      </c>
      <c r="C141" s="75" t="str">
        <f>+'Pricing sheet'!C151</f>
        <v>MOTEUR</v>
      </c>
      <c r="D141" s="75" t="str">
        <f>+'Pricing sheet'!D151</f>
        <v>Pc</v>
      </c>
      <c r="E141" s="75">
        <f>+'Pricing sheet'!E151</f>
        <v>0</v>
      </c>
      <c r="F141" s="126">
        <f>+'Pricing sheet'!M151</f>
        <v>24480.703099239399</v>
      </c>
      <c r="G141" s="126">
        <f>+'Pricing sheet'!N151</f>
        <v>26065.051740289069</v>
      </c>
      <c r="H141" s="126">
        <f>+'Pricing sheet'!O151</f>
        <v>28710.261868581918</v>
      </c>
      <c r="I141" s="178" t="str">
        <f t="shared" si="10"/>
        <v/>
      </c>
    </row>
    <row r="142" spans="1:9" x14ac:dyDescent="0.25">
      <c r="A142" s="1" t="str">
        <f>+'Pricing sheet'!A152</f>
        <v>IT.99</v>
      </c>
      <c r="B142" s="75" t="str">
        <f>+'Pricing sheet'!B152</f>
        <v>MOTEUR PRIMO VVVF MAX4 + CHASSIS</v>
      </c>
      <c r="C142" s="75" t="str">
        <f>+'Pricing sheet'!C152</f>
        <v>MOTEUR</v>
      </c>
      <c r="D142" s="75" t="str">
        <f>+'Pricing sheet'!D152</f>
        <v>Pc</v>
      </c>
      <c r="E142" s="75">
        <f>+'Pricing sheet'!E152</f>
        <v>0</v>
      </c>
      <c r="F142" s="126">
        <f>+'Pricing sheet'!M152</f>
        <v>24480.703099239399</v>
      </c>
      <c r="G142" s="126">
        <f>+'Pricing sheet'!N152</f>
        <v>26065.051740289069</v>
      </c>
      <c r="H142" s="126">
        <f>+'Pricing sheet'!O152</f>
        <v>28710.261868581918</v>
      </c>
      <c r="I142" s="178" t="str">
        <f t="shared" si="10"/>
        <v/>
      </c>
    </row>
    <row r="143" spans="1:9" x14ac:dyDescent="0.25">
      <c r="A143" s="1" t="str">
        <f>+'Pricing sheet'!A153</f>
        <v>IT.100</v>
      </c>
      <c r="B143" s="75" t="str">
        <f>+'Pricing sheet'!B153</f>
        <v>MOTEUR PRIMO VVVF MAX8 + CHASSIS</v>
      </c>
      <c r="C143" s="75" t="str">
        <f>+'Pricing sheet'!C153</f>
        <v>MOTEUR</v>
      </c>
      <c r="D143" s="75" t="str">
        <f>+'Pricing sheet'!D153</f>
        <v>Pc</v>
      </c>
      <c r="E143" s="75">
        <f>+'Pricing sheet'!E153</f>
        <v>0</v>
      </c>
      <c r="F143" s="126">
        <f>+'Pricing sheet'!M153</f>
        <v>0</v>
      </c>
      <c r="G143" s="126">
        <f>+'Pricing sheet'!N153</f>
        <v>0</v>
      </c>
      <c r="H143" s="126">
        <f>+'Pricing sheet'!O153</f>
        <v>0</v>
      </c>
      <c r="I143" s="178" t="str">
        <f t="shared" si="10"/>
        <v/>
      </c>
    </row>
    <row r="144" spans="1:9" x14ac:dyDescent="0.25">
      <c r="A144" s="1" t="str">
        <f>+'Pricing sheet'!A154</f>
        <v>IT.101</v>
      </c>
      <c r="B144" s="75" t="str">
        <f>+'Pricing sheet'!B154</f>
        <v>MOTEUR PRIMO VVVF MAX10 + CHASSIS</v>
      </c>
      <c r="C144" s="75" t="str">
        <f>+'Pricing sheet'!C154</f>
        <v>MOTEUR</v>
      </c>
      <c r="D144" s="75" t="str">
        <f>+'Pricing sheet'!D154</f>
        <v>Pc</v>
      </c>
      <c r="E144" s="75">
        <f>+'Pricing sheet'!E154</f>
        <v>0</v>
      </c>
      <c r="F144" s="126">
        <f>+'Pricing sheet'!M154</f>
        <v>0</v>
      </c>
      <c r="G144" s="126">
        <f>+'Pricing sheet'!N154</f>
        <v>0</v>
      </c>
      <c r="H144" s="126">
        <f>+'Pricing sheet'!O154</f>
        <v>0</v>
      </c>
      <c r="I144" s="178" t="str">
        <f t="shared" si="10"/>
        <v/>
      </c>
    </row>
    <row r="145" spans="1:9" x14ac:dyDescent="0.25">
      <c r="A145" s="1" t="str">
        <f>+'Pricing sheet'!A155</f>
        <v>IT.102</v>
      </c>
      <c r="B145" s="75" t="str">
        <f>+'Pricing sheet'!B155</f>
        <v>MOTEUR MONTANARI 2V MAX4</v>
      </c>
      <c r="C145" s="75" t="str">
        <f>+'Pricing sheet'!C155</f>
        <v>MOTEUR</v>
      </c>
      <c r="D145" s="75" t="str">
        <f>+'Pricing sheet'!D155</f>
        <v>Pc</v>
      </c>
      <c r="E145" s="75">
        <f>+'Pricing sheet'!E155</f>
        <v>0</v>
      </c>
      <c r="F145" s="126">
        <f>+'Pricing sheet'!M155</f>
        <v>0</v>
      </c>
      <c r="G145" s="126">
        <f>+'Pricing sheet'!N155</f>
        <v>0</v>
      </c>
      <c r="H145" s="126">
        <f>+'Pricing sheet'!O155</f>
        <v>0</v>
      </c>
      <c r="I145" s="178" t="str">
        <f t="shared" si="10"/>
        <v/>
      </c>
    </row>
    <row r="146" spans="1:9" x14ac:dyDescent="0.25">
      <c r="A146" s="1" t="str">
        <f>+'Pricing sheet'!A156</f>
        <v>IT.103</v>
      </c>
      <c r="B146" s="75" t="str">
        <f>+'Pricing sheet'!B156</f>
        <v>MOTEUR MONTANARI 2V MAX6</v>
      </c>
      <c r="C146" s="75" t="str">
        <f>+'Pricing sheet'!C156</f>
        <v>MOTEUR</v>
      </c>
      <c r="D146" s="75" t="str">
        <f>+'Pricing sheet'!D156</f>
        <v>Pc</v>
      </c>
      <c r="E146" s="75">
        <f>+'Pricing sheet'!E156</f>
        <v>0</v>
      </c>
      <c r="F146" s="126">
        <f>+'Pricing sheet'!M156</f>
        <v>0</v>
      </c>
      <c r="G146" s="126">
        <f>+'Pricing sheet'!N156</f>
        <v>0</v>
      </c>
      <c r="H146" s="126">
        <f>+'Pricing sheet'!O156</f>
        <v>0</v>
      </c>
      <c r="I146" s="178" t="str">
        <f t="shared" si="10"/>
        <v/>
      </c>
    </row>
    <row r="147" spans="1:9" x14ac:dyDescent="0.25">
      <c r="A147" s="1" t="str">
        <f>+'Pricing sheet'!A157</f>
        <v>IT.104</v>
      </c>
      <c r="B147" s="75" t="str">
        <f>+'Pricing sheet'!B157</f>
        <v>MOTEUR MONTANARI 2V MAX8</v>
      </c>
      <c r="C147" s="75" t="str">
        <f>+'Pricing sheet'!C157</f>
        <v>MOTEUR</v>
      </c>
      <c r="D147" s="75" t="str">
        <f>+'Pricing sheet'!D157</f>
        <v>Pc</v>
      </c>
      <c r="E147" s="75">
        <f>+'Pricing sheet'!E157</f>
        <v>0</v>
      </c>
      <c r="F147" s="126">
        <f>+'Pricing sheet'!M157</f>
        <v>0</v>
      </c>
      <c r="G147" s="126">
        <f>+'Pricing sheet'!N157</f>
        <v>0</v>
      </c>
      <c r="H147" s="126">
        <f>+'Pricing sheet'!O157</f>
        <v>0</v>
      </c>
      <c r="I147" s="178" t="str">
        <f t="shared" si="10"/>
        <v/>
      </c>
    </row>
    <row r="148" spans="1:9" x14ac:dyDescent="0.25">
      <c r="A148" s="1" t="str">
        <f>+'Pricing sheet'!A158</f>
        <v>IT.105</v>
      </c>
      <c r="B148" s="75" t="str">
        <f>+'Pricing sheet'!B158</f>
        <v>MOTEUR MONTANARI 2V MAX10</v>
      </c>
      <c r="C148" s="75" t="str">
        <f>+'Pricing sheet'!C158</f>
        <v>MOTEUR</v>
      </c>
      <c r="D148" s="75" t="str">
        <f>+'Pricing sheet'!D158</f>
        <v>Pc</v>
      </c>
      <c r="E148" s="75">
        <f>+'Pricing sheet'!E158</f>
        <v>0</v>
      </c>
      <c r="F148" s="126">
        <f>+'Pricing sheet'!M158</f>
        <v>0</v>
      </c>
      <c r="G148" s="126">
        <f>+'Pricing sheet'!N158</f>
        <v>0</v>
      </c>
      <c r="H148" s="126">
        <f>+'Pricing sheet'!O158</f>
        <v>0</v>
      </c>
      <c r="I148" s="178" t="str">
        <f t="shared" si="10"/>
        <v/>
      </c>
    </row>
    <row r="149" spans="1:9" x14ac:dyDescent="0.25">
      <c r="A149" s="1" t="str">
        <f>+'Pricing sheet'!A159</f>
        <v>IT.106</v>
      </c>
      <c r="B149" s="75" t="str">
        <f>+'Pricing sheet'!B159</f>
        <v>MOTEUR MONTANARI VVVF MAX4</v>
      </c>
      <c r="C149" s="75" t="str">
        <f>+'Pricing sheet'!C159</f>
        <v>MOTEUR</v>
      </c>
      <c r="D149" s="75" t="str">
        <f>+'Pricing sheet'!D159</f>
        <v>Pc</v>
      </c>
      <c r="E149" s="75">
        <f>+'Pricing sheet'!E159</f>
        <v>0</v>
      </c>
      <c r="F149" s="126">
        <f>+'Pricing sheet'!M159</f>
        <v>0</v>
      </c>
      <c r="G149" s="126">
        <f>+'Pricing sheet'!N159</f>
        <v>0</v>
      </c>
      <c r="H149" s="126">
        <f>+'Pricing sheet'!O159</f>
        <v>0</v>
      </c>
      <c r="I149" s="178" t="str">
        <f t="shared" si="10"/>
        <v/>
      </c>
    </row>
    <row r="150" spans="1:9" x14ac:dyDescent="0.25">
      <c r="A150" s="1" t="str">
        <f>+'Pricing sheet'!A160</f>
        <v>IT.107</v>
      </c>
      <c r="B150" s="75" t="str">
        <f>+'Pricing sheet'!B160</f>
        <v>MOTEUR MONTANARI VVVF MAX6</v>
      </c>
      <c r="C150" s="75" t="str">
        <f>+'Pricing sheet'!C160</f>
        <v>MOTEUR</v>
      </c>
      <c r="D150" s="75" t="str">
        <f>+'Pricing sheet'!D160</f>
        <v>Pc</v>
      </c>
      <c r="E150" s="75">
        <f>+'Pricing sheet'!E160</f>
        <v>0</v>
      </c>
      <c r="F150" s="126">
        <f>+'Pricing sheet'!M160</f>
        <v>0</v>
      </c>
      <c r="G150" s="126">
        <f>+'Pricing sheet'!N160</f>
        <v>0</v>
      </c>
      <c r="H150" s="126">
        <f>+'Pricing sheet'!O160</f>
        <v>0</v>
      </c>
      <c r="I150" s="178" t="str">
        <f t="shared" si="10"/>
        <v/>
      </c>
    </row>
    <row r="151" spans="1:9" x14ac:dyDescent="0.25">
      <c r="A151" s="1" t="str">
        <f>+'Pricing sheet'!A161</f>
        <v>IT.108</v>
      </c>
      <c r="B151" s="75" t="str">
        <f>+'Pricing sheet'!B161</f>
        <v>MOTEUR MONTANARI VVVF MAX8</v>
      </c>
      <c r="C151" s="75" t="str">
        <f>+'Pricing sheet'!C161</f>
        <v>MOTEUR</v>
      </c>
      <c r="D151" s="75" t="str">
        <f>+'Pricing sheet'!D161</f>
        <v>Pc</v>
      </c>
      <c r="E151" s="75">
        <f>+'Pricing sheet'!E161</f>
        <v>0</v>
      </c>
      <c r="F151" s="126">
        <f>+'Pricing sheet'!M161</f>
        <v>0</v>
      </c>
      <c r="G151" s="126">
        <f>+'Pricing sheet'!N161</f>
        <v>0</v>
      </c>
      <c r="H151" s="126">
        <f>+'Pricing sheet'!O161</f>
        <v>0</v>
      </c>
      <c r="I151" s="178" t="str">
        <f t="shared" si="10"/>
        <v/>
      </c>
    </row>
    <row r="152" spans="1:9" x14ac:dyDescent="0.25">
      <c r="A152" s="1" t="str">
        <f>+'Pricing sheet'!A162</f>
        <v>IT.109</v>
      </c>
      <c r="B152" s="75" t="str">
        <f>+'Pricing sheet'!B162</f>
        <v>MOTEUR MONTANARI VVVF MAX10</v>
      </c>
      <c r="C152" s="75" t="str">
        <f>+'Pricing sheet'!C162</f>
        <v>MOTEUR</v>
      </c>
      <c r="D152" s="75" t="str">
        <f>+'Pricing sheet'!D162</f>
        <v>Pc</v>
      </c>
      <c r="E152" s="75">
        <f>+'Pricing sheet'!E162</f>
        <v>0</v>
      </c>
      <c r="F152" s="126">
        <f>+'Pricing sheet'!M162</f>
        <v>0</v>
      </c>
      <c r="G152" s="126">
        <f>+'Pricing sheet'!N162</f>
        <v>0</v>
      </c>
      <c r="H152" s="126">
        <f>+'Pricing sheet'!O162</f>
        <v>0</v>
      </c>
      <c r="I152" s="178" t="str">
        <f t="shared" si="10"/>
        <v/>
      </c>
    </row>
    <row r="153" spans="1:9" x14ac:dyDescent="0.25">
      <c r="A153" s="1" t="str">
        <f>+'Pricing sheet'!A163</f>
        <v>IT.110</v>
      </c>
      <c r="B153" s="75" t="str">
        <f>+'Pricing sheet'!B163</f>
        <v>MOTEUR MONTANARI GEARLESS MAX4</v>
      </c>
      <c r="C153" s="75" t="str">
        <f>+'Pricing sheet'!C163</f>
        <v>MOTEUR</v>
      </c>
      <c r="D153" s="75" t="str">
        <f>+'Pricing sheet'!D163</f>
        <v>Pc</v>
      </c>
      <c r="E153" s="75">
        <f>+'Pricing sheet'!E163</f>
        <v>0</v>
      </c>
      <c r="F153" s="126">
        <f>+'Pricing sheet'!M163</f>
        <v>0</v>
      </c>
      <c r="G153" s="126">
        <f>+'Pricing sheet'!N163</f>
        <v>0</v>
      </c>
      <c r="H153" s="126">
        <f>+'Pricing sheet'!O163</f>
        <v>0</v>
      </c>
      <c r="I153" s="178" t="str">
        <f t="shared" ref="I153:I190" si="11">IF(SUM(S153:AC153)&lt;&gt;0,SUM(S153:AC153),"")</f>
        <v/>
      </c>
    </row>
    <row r="154" spans="1:9" x14ac:dyDescent="0.25">
      <c r="A154" s="1" t="str">
        <f>+'Pricing sheet'!A164</f>
        <v>IT.111</v>
      </c>
      <c r="B154" s="75" t="str">
        <f>+'Pricing sheet'!B164</f>
        <v>MOTEUR MONTANARI GEARLESS MAX6</v>
      </c>
      <c r="C154" s="75" t="str">
        <f>+'Pricing sheet'!C164</f>
        <v>MOTEUR</v>
      </c>
      <c r="D154" s="75" t="str">
        <f>+'Pricing sheet'!D164</f>
        <v>Pc</v>
      </c>
      <c r="E154" s="75">
        <f>+'Pricing sheet'!E164</f>
        <v>0</v>
      </c>
      <c r="F154" s="126">
        <f>+'Pricing sheet'!M164</f>
        <v>0</v>
      </c>
      <c r="G154" s="126">
        <f>+'Pricing sheet'!N164</f>
        <v>0</v>
      </c>
      <c r="H154" s="126">
        <f>+'Pricing sheet'!O164</f>
        <v>0</v>
      </c>
      <c r="I154" s="178" t="str">
        <f t="shared" si="11"/>
        <v/>
      </c>
    </row>
    <row r="155" spans="1:9" x14ac:dyDescent="0.25">
      <c r="A155" s="1" t="str">
        <f>+'Pricing sheet'!A165</f>
        <v>IT.112</v>
      </c>
      <c r="B155" s="75" t="str">
        <f>+'Pricing sheet'!B165</f>
        <v>MOTEUR MONTANARI GEARLESS MAX8</v>
      </c>
      <c r="C155" s="75" t="str">
        <f>+'Pricing sheet'!C165</f>
        <v>MOTEUR</v>
      </c>
      <c r="D155" s="75" t="str">
        <f>+'Pricing sheet'!D165</f>
        <v>Pc</v>
      </c>
      <c r="E155" s="75">
        <f>+'Pricing sheet'!E165</f>
        <v>0</v>
      </c>
      <c r="F155" s="126">
        <f>+'Pricing sheet'!M165</f>
        <v>29033.022956841141</v>
      </c>
      <c r="G155" s="126">
        <f>+'Pricing sheet'!N165</f>
        <v>30911.810835629021</v>
      </c>
      <c r="H155" s="126">
        <f>+'Pricing sheet'!O165</f>
        <v>34051.379247015611</v>
      </c>
      <c r="I155" s="178" t="str">
        <f t="shared" si="11"/>
        <v/>
      </c>
    </row>
    <row r="156" spans="1:9" x14ac:dyDescent="0.25">
      <c r="A156" s="1" t="str">
        <f>+'Pricing sheet'!A166</f>
        <v>IT.113</v>
      </c>
      <c r="B156" s="75" t="str">
        <f>+'Pricing sheet'!B166</f>
        <v>MOTEUR MONTANARI GEARLESS MAX10</v>
      </c>
      <c r="C156" s="75" t="str">
        <f>+'Pricing sheet'!C166</f>
        <v>MOTEUR</v>
      </c>
      <c r="D156" s="75" t="str">
        <f>+'Pricing sheet'!D166</f>
        <v>Pc</v>
      </c>
      <c r="E156" s="75">
        <f>+'Pricing sheet'!E166</f>
        <v>0</v>
      </c>
      <c r="F156" s="126">
        <f>+'Pricing sheet'!M166</f>
        <v>0</v>
      </c>
      <c r="G156" s="126">
        <f>+'Pricing sheet'!N166</f>
        <v>0</v>
      </c>
      <c r="H156" s="126">
        <f>+'Pricing sheet'!O166</f>
        <v>0</v>
      </c>
      <c r="I156" s="178" t="str">
        <f t="shared" si="11"/>
        <v/>
      </c>
    </row>
    <row r="157" spans="1:9" x14ac:dyDescent="0.25">
      <c r="A157" s="1" t="str">
        <f>+'Pricing sheet'!A167</f>
        <v>IT.114</v>
      </c>
      <c r="B157" s="75" t="str">
        <f>+'Pricing sheet'!B167</f>
        <v>MOTEUR GEM 2V MAX4</v>
      </c>
      <c r="C157" s="75" t="str">
        <f>+'Pricing sheet'!C167</f>
        <v>MOTEUR</v>
      </c>
      <c r="D157" s="75" t="str">
        <f>+'Pricing sheet'!D167</f>
        <v>Pc</v>
      </c>
      <c r="E157" s="75">
        <f>+'Pricing sheet'!E167</f>
        <v>0</v>
      </c>
      <c r="F157" s="126">
        <f>+'Pricing sheet'!M167</f>
        <v>0</v>
      </c>
      <c r="G157" s="126">
        <f>+'Pricing sheet'!N167</f>
        <v>0</v>
      </c>
      <c r="H157" s="126">
        <f>+'Pricing sheet'!O167</f>
        <v>0</v>
      </c>
      <c r="I157" s="178" t="str">
        <f t="shared" si="11"/>
        <v/>
      </c>
    </row>
    <row r="158" spans="1:9" x14ac:dyDescent="0.25">
      <c r="A158" s="1" t="str">
        <f>+'Pricing sheet'!A168</f>
        <v>IT.115</v>
      </c>
      <c r="B158" s="75" t="str">
        <f>+'Pricing sheet'!B168</f>
        <v>MOTEUR GEM 2V MAX6</v>
      </c>
      <c r="C158" s="75" t="str">
        <f>+'Pricing sheet'!C168</f>
        <v>MOTEUR</v>
      </c>
      <c r="D158" s="75" t="str">
        <f>+'Pricing sheet'!D168</f>
        <v>Pc</v>
      </c>
      <c r="E158" s="75">
        <f>+'Pricing sheet'!E168</f>
        <v>0</v>
      </c>
      <c r="F158" s="126">
        <f>+'Pricing sheet'!M168</f>
        <v>0</v>
      </c>
      <c r="G158" s="126">
        <f>+'Pricing sheet'!N168</f>
        <v>0</v>
      </c>
      <c r="H158" s="126">
        <f>+'Pricing sheet'!O168</f>
        <v>0</v>
      </c>
      <c r="I158" s="178" t="str">
        <f t="shared" si="11"/>
        <v/>
      </c>
    </row>
    <row r="159" spans="1:9" x14ac:dyDescent="0.25">
      <c r="A159" s="1" t="str">
        <f>+'Pricing sheet'!A169</f>
        <v>IT.116</v>
      </c>
      <c r="B159" s="75" t="str">
        <f>+'Pricing sheet'!B169</f>
        <v>MOTEUR GEM 2V MAX8</v>
      </c>
      <c r="C159" s="75" t="str">
        <f>+'Pricing sheet'!C169</f>
        <v>MOTEUR</v>
      </c>
      <c r="D159" s="75" t="str">
        <f>+'Pricing sheet'!D169</f>
        <v>Pc</v>
      </c>
      <c r="E159" s="75">
        <f>+'Pricing sheet'!E169</f>
        <v>0</v>
      </c>
      <c r="F159" s="126">
        <f>+'Pricing sheet'!M169</f>
        <v>0</v>
      </c>
      <c r="G159" s="126">
        <f>+'Pricing sheet'!N169</f>
        <v>0</v>
      </c>
      <c r="H159" s="126">
        <f>+'Pricing sheet'!O169</f>
        <v>0</v>
      </c>
      <c r="I159" s="178" t="str">
        <f t="shared" si="11"/>
        <v/>
      </c>
    </row>
    <row r="160" spans="1:9" x14ac:dyDescent="0.25">
      <c r="A160" s="1" t="str">
        <f>+'Pricing sheet'!A170</f>
        <v>IT.117</v>
      </c>
      <c r="B160" s="75" t="str">
        <f>+'Pricing sheet'!B170</f>
        <v>MOTEUR GEM 2V MAX10</v>
      </c>
      <c r="C160" s="75" t="str">
        <f>+'Pricing sheet'!C170</f>
        <v>MOTEUR</v>
      </c>
      <c r="D160" s="75" t="str">
        <f>+'Pricing sheet'!D170</f>
        <v>Pc</v>
      </c>
      <c r="E160" s="75">
        <f>+'Pricing sheet'!E170</f>
        <v>0</v>
      </c>
      <c r="F160" s="126">
        <f>+'Pricing sheet'!M170</f>
        <v>0</v>
      </c>
      <c r="G160" s="126">
        <f>+'Pricing sheet'!N170</f>
        <v>0</v>
      </c>
      <c r="H160" s="126">
        <f>+'Pricing sheet'!O170</f>
        <v>0</v>
      </c>
      <c r="I160" s="178" t="str">
        <f t="shared" si="11"/>
        <v/>
      </c>
    </row>
    <row r="161" spans="1:9" x14ac:dyDescent="0.25">
      <c r="A161" s="1" t="str">
        <f>+'Pricing sheet'!A171</f>
        <v>IT.118</v>
      </c>
      <c r="B161" s="75" t="str">
        <f>+'Pricing sheet'!B171</f>
        <v>MOTEUR GEM VVVF MAX4</v>
      </c>
      <c r="C161" s="75" t="str">
        <f>+'Pricing sheet'!C171</f>
        <v>MOTEUR</v>
      </c>
      <c r="D161" s="75" t="str">
        <f>+'Pricing sheet'!D171</f>
        <v>Pc</v>
      </c>
      <c r="E161" s="75">
        <f>+'Pricing sheet'!E171</f>
        <v>0</v>
      </c>
      <c r="F161" s="126">
        <f>+'Pricing sheet'!M171</f>
        <v>21244.494791666668</v>
      </c>
      <c r="G161" s="126">
        <f>+'Pricing sheet'!N171</f>
        <v>22619.494791666668</v>
      </c>
      <c r="H161" s="126">
        <f>+'Pricing sheet'!O171</f>
        <v>24913.739583333328</v>
      </c>
      <c r="I161" s="178" t="str">
        <f t="shared" si="11"/>
        <v/>
      </c>
    </row>
    <row r="162" spans="1:9" x14ac:dyDescent="0.25">
      <c r="A162" s="1" t="str">
        <f>+'Pricing sheet'!A172</f>
        <v>IT.119</v>
      </c>
      <c r="B162" s="75" t="str">
        <f>+'Pricing sheet'!B172</f>
        <v>MOTEUR GEM VVVF MAX6</v>
      </c>
      <c r="C162" s="75" t="str">
        <f>+'Pricing sheet'!C172</f>
        <v>MOTEUR</v>
      </c>
      <c r="D162" s="75" t="str">
        <f>+'Pricing sheet'!D172</f>
        <v>Pc</v>
      </c>
      <c r="E162" s="75">
        <f>+'Pricing sheet'!E172</f>
        <v>0</v>
      </c>
      <c r="F162" s="126">
        <f>+'Pricing sheet'!M172</f>
        <v>21244.494791666668</v>
      </c>
      <c r="G162" s="126">
        <f>+'Pricing sheet'!N172</f>
        <v>22619.494791666668</v>
      </c>
      <c r="H162" s="126">
        <f>+'Pricing sheet'!O172</f>
        <v>24913.739583333328</v>
      </c>
      <c r="I162" s="178" t="str">
        <f t="shared" si="11"/>
        <v/>
      </c>
    </row>
    <row r="163" spans="1:9" x14ac:dyDescent="0.25">
      <c r="A163" s="1" t="str">
        <f>+'Pricing sheet'!A173</f>
        <v>IT.120</v>
      </c>
      <c r="B163" s="75" t="str">
        <f>+'Pricing sheet'!B173</f>
        <v>MOTEUR GEM VVVF MAX8</v>
      </c>
      <c r="C163" s="75" t="str">
        <f>+'Pricing sheet'!C173</f>
        <v>MOTEUR</v>
      </c>
      <c r="D163" s="75" t="str">
        <f>+'Pricing sheet'!D173</f>
        <v>Pc</v>
      </c>
      <c r="E163" s="75">
        <f>+'Pricing sheet'!E173</f>
        <v>0</v>
      </c>
      <c r="F163" s="126">
        <f>+'Pricing sheet'!M173</f>
        <v>24142.936197916668</v>
      </c>
      <c r="G163" s="126">
        <f>+'Pricing sheet'!N173</f>
        <v>25705.436197916668</v>
      </c>
      <c r="H163" s="126">
        <f>+'Pricing sheet'!O173</f>
        <v>28313.997395833336</v>
      </c>
      <c r="I163" s="178" t="str">
        <f t="shared" si="11"/>
        <v/>
      </c>
    </row>
    <row r="164" spans="1:9" x14ac:dyDescent="0.25">
      <c r="A164" s="1" t="str">
        <f>+'Pricing sheet'!A174</f>
        <v>IT.121</v>
      </c>
      <c r="B164" s="75" t="str">
        <f>+'Pricing sheet'!B174</f>
        <v>MOTEUR GEM VVVF MAX10</v>
      </c>
      <c r="C164" s="75" t="str">
        <f>+'Pricing sheet'!C174</f>
        <v>MOTEUR</v>
      </c>
      <c r="D164" s="75" t="str">
        <f>+'Pricing sheet'!D174</f>
        <v>Pc</v>
      </c>
      <c r="E164" s="75">
        <f>+'Pricing sheet'!E174</f>
        <v>0</v>
      </c>
      <c r="F164" s="126">
        <f>+'Pricing sheet'!M174</f>
        <v>0</v>
      </c>
      <c r="G164" s="126">
        <f>+'Pricing sheet'!N174</f>
        <v>0</v>
      </c>
      <c r="H164" s="126">
        <f>+'Pricing sheet'!O174</f>
        <v>0</v>
      </c>
      <c r="I164" s="178" t="str">
        <f t="shared" si="11"/>
        <v/>
      </c>
    </row>
    <row r="165" spans="1:9" x14ac:dyDescent="0.25">
      <c r="A165" s="1" t="str">
        <f>+'Pricing sheet'!A175</f>
        <v>IT.122</v>
      </c>
      <c r="B165" s="75" t="str">
        <f>+'Pricing sheet'!B175</f>
        <v>MOTEUR GEM GEARLESS MAX4</v>
      </c>
      <c r="C165" s="75" t="str">
        <f>+'Pricing sheet'!C175</f>
        <v>MOTEUR</v>
      </c>
      <c r="D165" s="75" t="str">
        <f>+'Pricing sheet'!D175</f>
        <v>Pc</v>
      </c>
      <c r="E165" s="75">
        <f>+'Pricing sheet'!E175</f>
        <v>0</v>
      </c>
      <c r="F165" s="126">
        <f>+'Pricing sheet'!M175</f>
        <v>0</v>
      </c>
      <c r="G165" s="126">
        <f>+'Pricing sheet'!N175</f>
        <v>0</v>
      </c>
      <c r="H165" s="126">
        <f>+'Pricing sheet'!O175</f>
        <v>0</v>
      </c>
      <c r="I165" s="178" t="str">
        <f t="shared" si="11"/>
        <v/>
      </c>
    </row>
    <row r="166" spans="1:9" x14ac:dyDescent="0.25">
      <c r="A166" s="1" t="str">
        <f>+'Pricing sheet'!A176</f>
        <v>IT.123</v>
      </c>
      <c r="B166" s="75" t="str">
        <f>+'Pricing sheet'!B176</f>
        <v>MOTEUR GEM GEARLESS MAX6</v>
      </c>
      <c r="C166" s="75" t="str">
        <f>+'Pricing sheet'!C176</f>
        <v>MOTEUR</v>
      </c>
      <c r="D166" s="75" t="str">
        <f>+'Pricing sheet'!D176</f>
        <v>Pc</v>
      </c>
      <c r="E166" s="75">
        <f>+'Pricing sheet'!E176</f>
        <v>0</v>
      </c>
      <c r="F166" s="126">
        <f>+'Pricing sheet'!M176</f>
        <v>0</v>
      </c>
      <c r="G166" s="126">
        <f>+'Pricing sheet'!N176</f>
        <v>0</v>
      </c>
      <c r="H166" s="126">
        <f>+'Pricing sheet'!O176</f>
        <v>0</v>
      </c>
      <c r="I166" s="178" t="str">
        <f t="shared" si="11"/>
        <v/>
      </c>
    </row>
    <row r="167" spans="1:9" x14ac:dyDescent="0.25">
      <c r="A167" s="1" t="str">
        <f>+'Pricing sheet'!A177</f>
        <v>IT.124</v>
      </c>
      <c r="B167" s="75" t="str">
        <f>+'Pricing sheet'!B177</f>
        <v>MOTEUR GEM GEARLESS MAX8</v>
      </c>
      <c r="C167" s="75" t="str">
        <f>+'Pricing sheet'!C177</f>
        <v>MOTEUR</v>
      </c>
      <c r="D167" s="75" t="str">
        <f>+'Pricing sheet'!D177</f>
        <v>Pc</v>
      </c>
      <c r="E167" s="75">
        <f>+'Pricing sheet'!E177</f>
        <v>0</v>
      </c>
      <c r="F167" s="126">
        <f>+'Pricing sheet'!M177</f>
        <v>0</v>
      </c>
      <c r="G167" s="126">
        <f>+'Pricing sheet'!N177</f>
        <v>0</v>
      </c>
      <c r="H167" s="126">
        <f>+'Pricing sheet'!O177</f>
        <v>0</v>
      </c>
      <c r="I167" s="178" t="str">
        <f t="shared" si="11"/>
        <v/>
      </c>
    </row>
    <row r="168" spans="1:9" x14ac:dyDescent="0.25">
      <c r="A168" s="1" t="str">
        <f>+'Pricing sheet'!A178</f>
        <v>IT.125</v>
      </c>
      <c r="B168" s="75" t="str">
        <f>+'Pricing sheet'!B178</f>
        <v>MOTEUR GEM GEARLESS MAX10</v>
      </c>
      <c r="C168" s="75" t="str">
        <f>+'Pricing sheet'!C178</f>
        <v>MOTEUR</v>
      </c>
      <c r="D168" s="75" t="str">
        <f>+'Pricing sheet'!D178</f>
        <v>Pc</v>
      </c>
      <c r="E168" s="75">
        <f>+'Pricing sheet'!E178</f>
        <v>0</v>
      </c>
      <c r="F168" s="126">
        <f>+'Pricing sheet'!M178</f>
        <v>0</v>
      </c>
      <c r="G168" s="126">
        <f>+'Pricing sheet'!N178</f>
        <v>0</v>
      </c>
      <c r="H168" s="126">
        <f>+'Pricing sheet'!O178</f>
        <v>0</v>
      </c>
      <c r="I168" s="178" t="str">
        <f t="shared" si="11"/>
        <v/>
      </c>
    </row>
    <row r="169" spans="1:9" x14ac:dyDescent="0.25">
      <c r="A169" s="1" t="str">
        <f>+'Pricing sheet'!A179</f>
        <v>IT.126</v>
      </c>
      <c r="B169" s="75" t="str">
        <f>+'Pricing sheet'!B179</f>
        <v xml:space="preserve">MONOSTABLE </v>
      </c>
      <c r="C169" s="75" t="str">
        <f>+'Pricing sheet'!C179</f>
        <v>AUTRES</v>
      </c>
      <c r="D169" s="75" t="str">
        <f>+'Pricing sheet'!D179</f>
        <v>Pc</v>
      </c>
      <c r="E169" s="75">
        <f>+'Pricing sheet'!E179</f>
        <v>1</v>
      </c>
      <c r="F169" s="126">
        <f>+'Pricing sheet'!M179</f>
        <v>28.124643558479995</v>
      </c>
      <c r="G169" s="126">
        <f>+'Pricing sheet'!N179</f>
        <v>29.006643558479997</v>
      </c>
      <c r="H169" s="126">
        <f>+'Pricing sheet'!O179</f>
        <v>31.937839116959999</v>
      </c>
      <c r="I169" s="178" t="str">
        <f t="shared" si="11"/>
        <v/>
      </c>
    </row>
    <row r="170" spans="1:9" x14ac:dyDescent="0.25">
      <c r="A170" s="1" t="str">
        <f>+'Pricing sheet'!A180</f>
        <v>IT.127</v>
      </c>
      <c r="B170" s="75" t="str">
        <f>+'Pricing sheet'!B180</f>
        <v>BISTABLE</v>
      </c>
      <c r="C170" s="75" t="str">
        <f>+'Pricing sheet'!C180</f>
        <v>AUTRES</v>
      </c>
      <c r="D170" s="75" t="str">
        <f>+'Pricing sheet'!D180</f>
        <v>Pc</v>
      </c>
      <c r="E170" s="75">
        <f>+'Pricing sheet'!E180</f>
        <v>1</v>
      </c>
      <c r="F170" s="126">
        <f>+'Pricing sheet'!M180</f>
        <v>28.124643558479995</v>
      </c>
      <c r="G170" s="126">
        <f>+'Pricing sheet'!N180</f>
        <v>29.006643558479997</v>
      </c>
      <c r="H170" s="126">
        <f>+'Pricing sheet'!O180</f>
        <v>31.937839116959999</v>
      </c>
      <c r="I170" s="178" t="str">
        <f t="shared" si="11"/>
        <v/>
      </c>
    </row>
    <row r="171" spans="1:9" x14ac:dyDescent="0.25">
      <c r="A171" s="1" t="str">
        <f>+'Pricing sheet'!A181</f>
        <v>IT.128</v>
      </c>
      <c r="B171" s="75" t="str">
        <f>+'Pricing sheet'!B181</f>
        <v>ECLAIRAGE DE GAINE</v>
      </c>
      <c r="C171" s="75" t="str">
        <f>+'Pricing sheet'!C181</f>
        <v>AUTRES</v>
      </c>
      <c r="D171" s="75" t="str">
        <f>+'Pricing sheet'!D181</f>
        <v>SET</v>
      </c>
      <c r="E171" s="75">
        <f>+'Pricing sheet'!E181</f>
        <v>1</v>
      </c>
      <c r="F171" s="126">
        <f>+'Pricing sheet'!M181</f>
        <v>31.249605874666667</v>
      </c>
      <c r="G171" s="126">
        <f>+'Pricing sheet'!N181</f>
        <v>32.229605874666667</v>
      </c>
      <c r="H171" s="126">
        <f>+'Pricing sheet'!O181</f>
        <v>35.486491749333339</v>
      </c>
      <c r="I171" s="178" t="str">
        <f t="shared" si="11"/>
        <v/>
      </c>
    </row>
    <row r="172" spans="1:9" x14ac:dyDescent="0.25">
      <c r="A172" s="1" t="str">
        <f>+'Pricing sheet'!A182</f>
        <v>IT.129</v>
      </c>
      <c r="B172" s="75" t="str">
        <f>+'Pricing sheet'!B182</f>
        <v>PORTE PALIERE AUTOMATIQUE INOX FERMATOR 80</v>
      </c>
      <c r="C172" s="75" t="str">
        <f>+'Pricing sheet'!C182</f>
        <v>PORTE</v>
      </c>
      <c r="D172" s="75" t="str">
        <f>+'Pricing sheet'!D182</f>
        <v>Pc</v>
      </c>
      <c r="E172" s="75">
        <f>+'Pricing sheet'!E182</f>
        <v>135</v>
      </c>
      <c r="F172" s="126">
        <f>+'Pricing sheet'!M182</f>
        <v>6304.7927803813336</v>
      </c>
      <c r="G172" s="126">
        <f>+'Pricing sheet'!N182</f>
        <v>6491.9727803813339</v>
      </c>
      <c r="H172" s="126">
        <f>+'Pricing sheet'!O182</f>
        <v>7114.7350407626673</v>
      </c>
      <c r="I172" s="178" t="str">
        <f t="shared" si="11"/>
        <v/>
      </c>
    </row>
    <row r="173" spans="1:9" x14ac:dyDescent="0.25">
      <c r="A173" s="1" t="str">
        <f>+'Pricing sheet'!A183</f>
        <v>IT.130</v>
      </c>
      <c r="B173" s="75" t="str">
        <f>+'Pricing sheet'!B183</f>
        <v>PORTE PALIERE AUTOMATIQUE EPOXY FERMATOR 80</v>
      </c>
      <c r="C173" s="75" t="str">
        <f>+'Pricing sheet'!C183</f>
        <v>PORTE</v>
      </c>
      <c r="D173" s="75" t="str">
        <f>+'Pricing sheet'!D183</f>
        <v>Pc</v>
      </c>
      <c r="E173" s="75">
        <f>+'Pricing sheet'!E183</f>
        <v>135</v>
      </c>
      <c r="F173" s="126">
        <f>+'Pricing sheet'!M183</f>
        <v>4687.8701799999999</v>
      </c>
      <c r="G173" s="126">
        <f>+'Pricing sheet'!N183</f>
        <v>4834.8701799999999</v>
      </c>
      <c r="H173" s="126">
        <f>+'Pricing sheet'!O183</f>
        <v>5323.8323600000003</v>
      </c>
      <c r="I173" s="178" t="str">
        <f t="shared" si="11"/>
        <v/>
      </c>
    </row>
    <row r="174" spans="1:9" x14ac:dyDescent="0.25">
      <c r="A174" s="1" t="str">
        <f>+'Pricing sheet'!A184</f>
        <v>IT.131</v>
      </c>
      <c r="B174" s="75" t="str">
        <f>+'Pricing sheet'!B184</f>
        <v>OPERATEUR INOX FERMATOR 80</v>
      </c>
      <c r="C174" s="75" t="str">
        <f>+'Pricing sheet'!C184</f>
        <v>OPÉRATEUR</v>
      </c>
      <c r="D174" s="75" t="str">
        <f>+'Pricing sheet'!D184</f>
        <v>Pc</v>
      </c>
      <c r="E174" s="75">
        <f>+'Pricing sheet'!E184</f>
        <v>110</v>
      </c>
      <c r="F174" s="126">
        <f>+'Pricing sheet'!M184</f>
        <v>11252.340556800002</v>
      </c>
      <c r="G174" s="126">
        <f>+'Pricing sheet'!N184</f>
        <v>11605.140556800001</v>
      </c>
      <c r="H174" s="126">
        <f>+'Pricing sheet'!O184</f>
        <v>12780.101913600003</v>
      </c>
      <c r="I174" s="178" t="str">
        <f t="shared" si="11"/>
        <v/>
      </c>
    </row>
    <row r="175" spans="1:9" x14ac:dyDescent="0.25">
      <c r="A175" s="1" t="str">
        <f>+'Pricing sheet'!A185</f>
        <v>IT.132</v>
      </c>
      <c r="B175" s="75" t="str">
        <f>+'Pricing sheet'!B185</f>
        <v>ECHELLE</v>
      </c>
      <c r="C175" s="75" t="str">
        <f>+'Pricing sheet'!C185</f>
        <v>AUTRES</v>
      </c>
      <c r="D175" s="75" t="str">
        <f>+'Pricing sheet'!D185</f>
        <v>Pc</v>
      </c>
      <c r="E175" s="75">
        <f>+'Pricing sheet'!E185</f>
        <v>15</v>
      </c>
      <c r="F175" s="126">
        <f>+'Pricing sheet'!M185</f>
        <v>390.62283458333337</v>
      </c>
      <c r="G175" s="126">
        <f>+'Pricing sheet'!N185</f>
        <v>402.87283458333337</v>
      </c>
      <c r="H175" s="126">
        <f>+'Pricing sheet'!O185</f>
        <v>443.58666916666675</v>
      </c>
      <c r="I175" s="178" t="str">
        <f t="shared" si="11"/>
        <v/>
      </c>
    </row>
    <row r="176" spans="1:9" x14ac:dyDescent="0.25">
      <c r="A176" s="1" t="str">
        <f>+'Pricing sheet'!A186</f>
        <v>IT.133</v>
      </c>
      <c r="B176" s="75" t="str">
        <f>+'Pricing sheet'!B186</f>
        <v>PORTE PALIERE AUTOMATIQUE INOX ATERYA 90</v>
      </c>
      <c r="C176" s="75" t="str">
        <f>+'Pricing sheet'!C186</f>
        <v>PORTE</v>
      </c>
      <c r="D176" s="75" t="str">
        <f>+'Pricing sheet'!D186</f>
        <v>Pc</v>
      </c>
      <c r="E176" s="75">
        <f>+'Pricing sheet'!E186</f>
        <v>145</v>
      </c>
      <c r="F176" s="126">
        <f>+'Pricing sheet'!M186</f>
        <v>5031.5895093457584</v>
      </c>
      <c r="G176" s="126">
        <f>+'Pricing sheet'!N186</f>
        <v>5170.1338724984016</v>
      </c>
      <c r="H176" s="126">
        <f>+'Pricing sheet'!O186</f>
        <v>5630.9468635202493</v>
      </c>
      <c r="I176" s="178" t="str">
        <f t="shared" si="11"/>
        <v/>
      </c>
    </row>
    <row r="177" spans="1:9" x14ac:dyDescent="0.25">
      <c r="A177" s="1" t="str">
        <f>+'Pricing sheet'!A187</f>
        <v>IT.134</v>
      </c>
      <c r="B177" s="75" t="str">
        <f>+'Pricing sheet'!B187</f>
        <v>PORTE PALIERE AUTOMATIQUE EPOXY ATERYA 90</v>
      </c>
      <c r="C177" s="75" t="str">
        <f>+'Pricing sheet'!C187</f>
        <v>PORTE</v>
      </c>
      <c r="D177" s="75" t="str">
        <f>+'Pricing sheet'!D187</f>
        <v>Pc</v>
      </c>
      <c r="E177" s="75">
        <f>+'Pricing sheet'!E187</f>
        <v>140</v>
      </c>
      <c r="F177" s="126">
        <f>+'Pricing sheet'!M187</f>
        <v>4083.6941375628071</v>
      </c>
      <c r="G177" s="126">
        <f>+'Pricing sheet'!N187</f>
        <v>4189.647878833176</v>
      </c>
      <c r="H177" s="126">
        <f>+'Pricing sheet'!O187</f>
        <v>4541.9920028941533</v>
      </c>
      <c r="I177" s="178" t="str">
        <f t="shared" si="11"/>
        <v/>
      </c>
    </row>
    <row r="178" spans="1:9" x14ac:dyDescent="0.25">
      <c r="A178" s="1" t="str">
        <f>+'Pricing sheet'!A188</f>
        <v>IT.135</v>
      </c>
      <c r="B178" s="75" t="str">
        <f>+'Pricing sheet'!B188</f>
        <v>OPERATEUR INOX ATERYA 90</v>
      </c>
      <c r="C178" s="75" t="str">
        <f>+'Pricing sheet'!C188</f>
        <v>OPÉRATEUR</v>
      </c>
      <c r="D178" s="75" t="str">
        <f>+'Pricing sheet'!D188</f>
        <v>Pc</v>
      </c>
      <c r="E178" s="75">
        <f>+'Pricing sheet'!E188</f>
        <v>38</v>
      </c>
      <c r="F178" s="126">
        <f>+'Pricing sheet'!M188</f>
        <v>7329.4325678069117</v>
      </c>
      <c r="G178" s="126">
        <f>+'Pricing sheet'!N188</f>
        <v>7559.2534856652419</v>
      </c>
      <c r="H178" s="126">
        <f>+'Pricing sheet'!O188</f>
        <v>8324.0813557668007</v>
      </c>
      <c r="I178" s="178" t="str">
        <f t="shared" si="11"/>
        <v/>
      </c>
    </row>
    <row r="179" spans="1:9" x14ac:dyDescent="0.25">
      <c r="A179" s="1" t="str">
        <f>+'Pricing sheet'!A189</f>
        <v>IT.136</v>
      </c>
      <c r="B179" s="75" t="str">
        <f>+'Pricing sheet'!B189</f>
        <v>DOOR AUTOMATIQUE PANORAMIQUE ATERYA 70/80/90</v>
      </c>
      <c r="C179" s="75" t="str">
        <f>+'Pricing sheet'!C189</f>
        <v>PORTE</v>
      </c>
      <c r="D179" s="75" t="str">
        <f>+'Pricing sheet'!D189</f>
        <v>Pc</v>
      </c>
      <c r="E179" s="75">
        <f>+'Pricing sheet'!E189</f>
        <v>145</v>
      </c>
      <c r="F179" s="126">
        <f>+'Pricing sheet'!M189</f>
        <v>6476.2274949258908</v>
      </c>
      <c r="G179" s="126">
        <f>+'Pricing sheet'!N189</f>
        <v>6666.6552983538841</v>
      </c>
      <c r="H179" s="126">
        <f>+'Pricing sheet'!O189</f>
        <v>7300.2356200459508</v>
      </c>
      <c r="I179" s="178" t="str">
        <f t="shared" si="11"/>
        <v/>
      </c>
    </row>
    <row r="180" spans="1:9" x14ac:dyDescent="0.25">
      <c r="A180" s="1" t="str">
        <f>+'Pricing sheet'!A190</f>
        <v>IT.137</v>
      </c>
      <c r="B180" s="75" t="str">
        <f>+'Pricing sheet'!B190</f>
        <v>OPERATEUR PANORAMIQUE ATERYA 70/80/90</v>
      </c>
      <c r="C180" s="75" t="str">
        <f>+'Pricing sheet'!C190</f>
        <v>PORTE</v>
      </c>
      <c r="D180" s="75" t="str">
        <f>+'Pricing sheet'!D190</f>
        <v>Pc</v>
      </c>
      <c r="E180" s="75">
        <f>+'Pricing sheet'!E190</f>
        <v>140</v>
      </c>
      <c r="F180" s="126">
        <f>+'Pricing sheet'!M190</f>
        <v>9202.0207803091798</v>
      </c>
      <c r="G180" s="126">
        <f>+'Pricing sheet'!N190</f>
        <v>9490.5477552000793</v>
      </c>
      <c r="H180" s="126">
        <f>+'Pricing sheet'!O190</f>
        <v>10451.084024725627</v>
      </c>
      <c r="I180" s="178" t="str">
        <f t="shared" si="11"/>
        <v/>
      </c>
    </row>
    <row r="181" spans="1:9" x14ac:dyDescent="0.25">
      <c r="A181" s="1" t="str">
        <f>+'Pricing sheet'!A191</f>
        <v>IT.138</v>
      </c>
      <c r="B181" s="75" t="str">
        <f>+'Pricing sheet'!B191</f>
        <v>CARTE OPERATEUR</v>
      </c>
      <c r="C181" s="75" t="str">
        <f>+'Pricing sheet'!C191</f>
        <v>OPÉRATEUR</v>
      </c>
      <c r="D181" s="75" t="str">
        <f>+'Pricing sheet'!D191</f>
        <v>Pc</v>
      </c>
      <c r="E181" s="75">
        <f>+'Pricing sheet'!E191</f>
        <v>1</v>
      </c>
      <c r="F181" s="126">
        <f>+'Pricing sheet'!M191</f>
        <v>840.00340052435331</v>
      </c>
      <c r="G181" s="126">
        <f>+'Pricing sheet'!N191</f>
        <v>866.34582035864594</v>
      </c>
      <c r="H181" s="126">
        <f>+'Pricing sheet'!O191</f>
        <v>953.90434073626625</v>
      </c>
      <c r="I181" s="178" t="str">
        <f t="shared" si="11"/>
        <v/>
      </c>
    </row>
    <row r="182" spans="1:9" x14ac:dyDescent="0.25">
      <c r="A182" s="1" t="str">
        <f>+'Pricing sheet'!A192</f>
        <v>IT.139</v>
      </c>
      <c r="B182" s="75" t="str">
        <f>+'Pricing sheet'!B192</f>
        <v>PORTE PALIERE AUTOMATIQUE INOX FERMATOR 90</v>
      </c>
      <c r="C182" s="75" t="str">
        <f>+'Pricing sheet'!C192</f>
        <v>PORTE</v>
      </c>
      <c r="D182" s="75" t="str">
        <f>+'Pricing sheet'!D192</f>
        <v>Pc</v>
      </c>
      <c r="E182" s="75">
        <f>+'Pricing sheet'!E192</f>
        <v>135</v>
      </c>
      <c r="F182" s="126">
        <f>+'Pricing sheet'!M192</f>
        <v>6413.9447842</v>
      </c>
      <c r="G182" s="126">
        <f>+'Pricing sheet'!N192</f>
        <v>6605.0447842000003</v>
      </c>
      <c r="H182" s="126">
        <f>+'Pricing sheet'!O192</f>
        <v>7240.8641684000013</v>
      </c>
      <c r="I182" s="178" t="str">
        <f t="shared" si="11"/>
        <v/>
      </c>
    </row>
    <row r="183" spans="1:9" x14ac:dyDescent="0.25">
      <c r="A183" s="1" t="str">
        <f>+'Pricing sheet'!A193</f>
        <v>IT.140</v>
      </c>
      <c r="B183" s="75" t="str">
        <f>+'Pricing sheet'!B193</f>
        <v>PORTE PALIERE AUTOMATIQUE EPOXY FERMATOR 90</v>
      </c>
      <c r="C183" s="75" t="str">
        <f>+'Pricing sheet'!C193</f>
        <v>PORTE</v>
      </c>
      <c r="D183" s="75" t="str">
        <f>+'Pricing sheet'!D193</f>
        <v>Pc</v>
      </c>
      <c r="E183" s="75">
        <f>+'Pricing sheet'!E193</f>
        <v>135</v>
      </c>
      <c r="F183" s="126" t="e">
        <f>+'Pricing sheet'!M193</f>
        <v>#REF!</v>
      </c>
      <c r="G183" s="126" t="e">
        <f>+'Pricing sheet'!N193</f>
        <v>#REF!</v>
      </c>
      <c r="H183" s="126" t="e">
        <f>+'Pricing sheet'!O193</f>
        <v>#REF!</v>
      </c>
      <c r="I183" s="178" t="str">
        <f t="shared" si="11"/>
        <v/>
      </c>
    </row>
    <row r="184" spans="1:9" x14ac:dyDescent="0.25">
      <c r="A184" s="1" t="str">
        <f>+'Pricing sheet'!A194</f>
        <v>IT.141</v>
      </c>
      <c r="B184" s="75" t="str">
        <f>+'Pricing sheet'!B194</f>
        <v>OPERATEUR INOX FERMATOR 90</v>
      </c>
      <c r="C184" s="75" t="str">
        <f>+'Pricing sheet'!C194</f>
        <v>OPÉRATEUR</v>
      </c>
      <c r="D184" s="75" t="str">
        <f>+'Pricing sheet'!D194</f>
        <v>Pc</v>
      </c>
      <c r="E184" s="75">
        <f>+'Pricing sheet'!E194</f>
        <v>110</v>
      </c>
      <c r="F184" s="126">
        <f>+'Pricing sheet'!M194</f>
        <v>11721.296125000003</v>
      </c>
      <c r="G184" s="126">
        <f>+'Pricing sheet'!N194</f>
        <v>12088.796125000003</v>
      </c>
      <c r="H184" s="126">
        <f>+'Pricing sheet'!O194</f>
        <v>13312.822250000001</v>
      </c>
      <c r="I184" s="178" t="str">
        <f t="shared" si="11"/>
        <v/>
      </c>
    </row>
    <row r="185" spans="1:9" x14ac:dyDescent="0.25">
      <c r="A185" s="1" t="str">
        <f>+'Pricing sheet'!A195</f>
        <v>IT.142</v>
      </c>
      <c r="B185" s="75" t="str">
        <f>+'Pricing sheet'!B195</f>
        <v>PARACHUTE PROGRESSIF</v>
      </c>
      <c r="C185" s="75" t="str">
        <f>+'Pricing sheet'!C195</f>
        <v>AUTRES</v>
      </c>
      <c r="D185" s="75" t="str">
        <f>+'Pricing sheet'!D195</f>
        <v>Pc</v>
      </c>
      <c r="E185" s="75">
        <f>+'Pricing sheet'!E195</f>
        <v>15</v>
      </c>
      <c r="F185" s="126">
        <f>+'Pricing sheet'!M195</f>
        <v>1218.763095368</v>
      </c>
      <c r="G185" s="126">
        <f>+'Pricing sheet'!N195</f>
        <v>1256.983095368</v>
      </c>
      <c r="H185" s="126">
        <f>+'Pricing sheet'!O195</f>
        <v>1384.0301107360001</v>
      </c>
      <c r="I185" s="178" t="str">
        <f t="shared" si="11"/>
        <v/>
      </c>
    </row>
    <row r="186" spans="1:9" x14ac:dyDescent="0.25">
      <c r="A186" s="1" t="str">
        <f>+'Pricing sheet'!A196</f>
        <v>STR1-1</v>
      </c>
      <c r="B186" s="75" t="str">
        <f>+'Pricing sheet'!B196</f>
        <v>SET STRUCTURE 1300 X 1300 2 ETAGES EP 4MM</v>
      </c>
      <c r="C186" s="75" t="str">
        <f>+'Pricing sheet'!C196</f>
        <v>STRUCTURE</v>
      </c>
      <c r="D186" s="75" t="str">
        <f>+'Pricing sheet'!D196</f>
        <v>SET</v>
      </c>
      <c r="E186" s="75">
        <f>+'Pricing sheet'!E196</f>
        <v>0</v>
      </c>
      <c r="F186" s="126">
        <f>+'Pricing sheet'!M196</f>
        <v>30095.521577916665</v>
      </c>
      <c r="G186" s="126">
        <f>+'Pricing sheet'!N196</f>
        <v>31038.771577916665</v>
      </c>
      <c r="H186" s="126">
        <f>+'Pricing sheet'!O196</f>
        <v>34191.300155833334</v>
      </c>
      <c r="I186" s="178" t="str">
        <f t="shared" si="11"/>
        <v/>
      </c>
    </row>
    <row r="187" spans="1:9" x14ac:dyDescent="0.25">
      <c r="A187" s="1" t="str">
        <f>+'Pricing sheet'!A197</f>
        <v>STR1-2</v>
      </c>
      <c r="B187" s="75" t="str">
        <f>+'Pricing sheet'!B197</f>
        <v>SET STRUCTURE 1400 X 1400 2 ETAGES EP 4MM</v>
      </c>
      <c r="C187" s="75" t="str">
        <f>+'Pricing sheet'!C197</f>
        <v>STRUCTURE</v>
      </c>
      <c r="D187" s="75" t="str">
        <f>+'Pricing sheet'!D197</f>
        <v>SET</v>
      </c>
      <c r="E187" s="75">
        <f>+'Pricing sheet'!E197</f>
        <v>0</v>
      </c>
      <c r="F187" s="126">
        <f>+'Pricing sheet'!M197</f>
        <v>30095.521577916665</v>
      </c>
      <c r="G187" s="126">
        <f>+'Pricing sheet'!N197</f>
        <v>31038.771577916665</v>
      </c>
      <c r="H187" s="126">
        <f>+'Pricing sheet'!O197</f>
        <v>34191.300155833334</v>
      </c>
      <c r="I187" s="178" t="str">
        <f t="shared" si="11"/>
        <v/>
      </c>
    </row>
    <row r="188" spans="1:9" x14ac:dyDescent="0.25">
      <c r="A188" s="1" t="str">
        <f>+'Pricing sheet'!A198</f>
        <v>STR1-3</v>
      </c>
      <c r="B188" s="75" t="str">
        <f>+'Pricing sheet'!B198</f>
        <v>SET STRUCTURE 1500 X 1500 2 ETAGES EP 4MM</v>
      </c>
      <c r="C188" s="75" t="str">
        <f>+'Pricing sheet'!C198</f>
        <v>STRUCTURE</v>
      </c>
      <c r="D188" s="75" t="str">
        <f>+'Pricing sheet'!D198</f>
        <v>SET</v>
      </c>
      <c r="E188" s="75">
        <f>+'Pricing sheet'!E198</f>
        <v>0</v>
      </c>
      <c r="F188" s="126">
        <f>+'Pricing sheet'!M198</f>
        <v>30095.521577916665</v>
      </c>
      <c r="G188" s="126">
        <f>+'Pricing sheet'!N198</f>
        <v>31038.771577916665</v>
      </c>
      <c r="H188" s="126">
        <f>+'Pricing sheet'!O198</f>
        <v>34191.300155833334</v>
      </c>
      <c r="I188" s="178" t="str">
        <f t="shared" si="11"/>
        <v/>
      </c>
    </row>
    <row r="189" spans="1:9" x14ac:dyDescent="0.25">
      <c r="A189" s="1" t="str">
        <f>+'Pricing sheet'!A199</f>
        <v>STR1-4</v>
      </c>
      <c r="B189" s="75" t="str">
        <f>+'Pricing sheet'!B199</f>
        <v>SET STRUCTURE 1600 X 1600 2 ETAGES EP 4MM</v>
      </c>
      <c r="C189" s="75" t="str">
        <f>+'Pricing sheet'!C199</f>
        <v>STRUCTURE</v>
      </c>
      <c r="D189" s="75" t="str">
        <f>+'Pricing sheet'!D199</f>
        <v>SET</v>
      </c>
      <c r="E189" s="75">
        <f>+'Pricing sheet'!E199</f>
        <v>0</v>
      </c>
      <c r="F189" s="126">
        <f>+'Pricing sheet'!M199</f>
        <v>30095.521577916665</v>
      </c>
      <c r="G189" s="126">
        <f>+'Pricing sheet'!N199</f>
        <v>31038.771577916665</v>
      </c>
      <c r="H189" s="126">
        <f>+'Pricing sheet'!O199</f>
        <v>34191.300155833334</v>
      </c>
      <c r="I189" s="178" t="str">
        <f t="shared" si="11"/>
        <v/>
      </c>
    </row>
    <row r="190" spans="1:9" x14ac:dyDescent="0.25">
      <c r="A190" s="1" t="str">
        <f>+'Pricing sheet'!A200</f>
        <v>STR2-1</v>
      </c>
      <c r="B190" s="75" t="str">
        <f>+'Pricing sheet'!B200</f>
        <v>SET STRUCTURE 1300 X 1300 3 ETAGES EP 4MM</v>
      </c>
      <c r="C190" s="75" t="str">
        <f>+'Pricing sheet'!C200</f>
        <v>STRUCTURE</v>
      </c>
      <c r="D190" s="75" t="str">
        <f>+'Pricing sheet'!D200</f>
        <v>SET</v>
      </c>
      <c r="E190" s="75">
        <f>+'Pricing sheet'!E200</f>
        <v>0</v>
      </c>
      <c r="F190" s="126">
        <f>+'Pricing sheet'!M200</f>
        <v>43004.496791666672</v>
      </c>
      <c r="G190" s="126">
        <f>+'Pricing sheet'!N200</f>
        <v>44351.996791666672</v>
      </c>
      <c r="H190" s="126">
        <f>+'Pricing sheet'!O200</f>
        <v>48866.503583333339</v>
      </c>
      <c r="I190" s="178" t="str">
        <f t="shared" si="11"/>
        <v/>
      </c>
    </row>
    <row r="191" spans="1:9" x14ac:dyDescent="0.25">
      <c r="A191" s="1" t="str">
        <f>+'Pricing sheet'!A201</f>
        <v>STR2-2</v>
      </c>
      <c r="B191" s="75" t="str">
        <f>+'Pricing sheet'!B201</f>
        <v>SET STRUCTURE 1400 X 1400 3 ETAGES EP 4MM</v>
      </c>
      <c r="C191" s="75" t="str">
        <f>+'Pricing sheet'!C201</f>
        <v>STRUCTURE</v>
      </c>
      <c r="D191" s="75" t="str">
        <f>+'Pricing sheet'!D201</f>
        <v>SET</v>
      </c>
      <c r="E191" s="75">
        <f>+'Pricing sheet'!E201</f>
        <v>0</v>
      </c>
      <c r="F191" s="126">
        <f>+'Pricing sheet'!M201</f>
        <v>43004.496791666672</v>
      </c>
      <c r="G191" s="126">
        <f>+'Pricing sheet'!N201</f>
        <v>44351.996791666672</v>
      </c>
      <c r="H191" s="126">
        <f>+'Pricing sheet'!O201</f>
        <v>48866.503583333339</v>
      </c>
      <c r="I191" s="178" t="str">
        <f t="shared" ref="I191" si="12">IF(SUM(S191:AC191)&lt;&gt;0,SUM(S191:AC191),"")</f>
        <v/>
      </c>
    </row>
    <row r="192" spans="1:9" x14ac:dyDescent="0.25">
      <c r="A192" s="1" t="str">
        <f>+'Pricing sheet'!A202</f>
        <v>STR2-3</v>
      </c>
      <c r="B192" s="75" t="str">
        <f>+'Pricing sheet'!B202</f>
        <v>SET STRUCTURE 1500 X 1500 3 ETAGES EP 4MM</v>
      </c>
      <c r="C192" s="75" t="str">
        <f>+'Pricing sheet'!C202</f>
        <v>STRUCTURE</v>
      </c>
      <c r="D192" s="75" t="str">
        <f>+'Pricing sheet'!D202</f>
        <v>SET</v>
      </c>
      <c r="E192" s="75">
        <f>+'Pricing sheet'!E202</f>
        <v>0</v>
      </c>
      <c r="F192" s="126">
        <f>+'Pricing sheet'!M202</f>
        <v>43004.496791666672</v>
      </c>
      <c r="G192" s="126">
        <f>+'Pricing sheet'!N202</f>
        <v>44351.996791666672</v>
      </c>
      <c r="H192" s="126">
        <f>+'Pricing sheet'!O202</f>
        <v>48866.503583333339</v>
      </c>
    </row>
    <row r="193" spans="1:8" x14ac:dyDescent="0.25">
      <c r="A193" s="1" t="str">
        <f>+'Pricing sheet'!A203</f>
        <v>STR2-4</v>
      </c>
      <c r="B193" s="75" t="str">
        <f>+'Pricing sheet'!B203</f>
        <v>SET STRUCTURE 1600 X 1600 3 ETAGES EP 4MM</v>
      </c>
      <c r="C193" s="75" t="str">
        <f>+'Pricing sheet'!C203</f>
        <v>STRUCTURE</v>
      </c>
      <c r="D193" s="75" t="str">
        <f>+'Pricing sheet'!D203</f>
        <v>SET</v>
      </c>
      <c r="E193" s="75">
        <f>+'Pricing sheet'!E203</f>
        <v>0</v>
      </c>
      <c r="F193" s="126">
        <f>+'Pricing sheet'!M203</f>
        <v>43004.496791666672</v>
      </c>
      <c r="G193" s="126">
        <f>+'Pricing sheet'!N203</f>
        <v>44351.996791666672</v>
      </c>
      <c r="H193" s="126">
        <f>+'Pricing sheet'!O203</f>
        <v>48866.503583333339</v>
      </c>
    </row>
    <row r="194" spans="1:8" x14ac:dyDescent="0.25">
      <c r="A194" s="1" t="str">
        <f>+'Pricing sheet'!A204</f>
        <v>STR3-1</v>
      </c>
      <c r="B194" s="75" t="str">
        <f>+'Pricing sheet'!B204</f>
        <v>SET STRUCTURE 1300 X 1300 4 ETAGES EP 4MM</v>
      </c>
      <c r="C194" s="75" t="str">
        <f>+'Pricing sheet'!C204</f>
        <v>STRUCTURE</v>
      </c>
      <c r="D194" s="75" t="str">
        <f>+'Pricing sheet'!D204</f>
        <v>SET</v>
      </c>
      <c r="E194" s="75">
        <f>+'Pricing sheet'!E204</f>
        <v>0</v>
      </c>
      <c r="F194" s="126">
        <f>+'Pricing sheet'!M204</f>
        <v>55920.008727916669</v>
      </c>
      <c r="G194" s="126">
        <f>+'Pricing sheet'!N204</f>
        <v>57671.758727916669</v>
      </c>
      <c r="H194" s="126">
        <f>+'Pricing sheet'!O204</f>
        <v>63554.78045583333</v>
      </c>
    </row>
    <row r="195" spans="1:8" x14ac:dyDescent="0.25">
      <c r="A195" s="1" t="str">
        <f>+'Pricing sheet'!A205</f>
        <v>STR3-2</v>
      </c>
      <c r="B195" s="75" t="str">
        <f>+'Pricing sheet'!B205</f>
        <v>SET STRUCTURE 1400 X 1400 4 ETAGES EP 4MM</v>
      </c>
      <c r="C195" s="75" t="str">
        <f>+'Pricing sheet'!C205</f>
        <v>STRUCTURE</v>
      </c>
      <c r="D195" s="75" t="str">
        <f>+'Pricing sheet'!D205</f>
        <v>SET</v>
      </c>
      <c r="E195" s="75">
        <f>+'Pricing sheet'!E205</f>
        <v>0</v>
      </c>
      <c r="F195" s="126">
        <f>+'Pricing sheet'!M205</f>
        <v>55920.008727916669</v>
      </c>
      <c r="G195" s="126">
        <f>+'Pricing sheet'!N205</f>
        <v>57671.758727916669</v>
      </c>
      <c r="H195" s="126">
        <f>+'Pricing sheet'!O205</f>
        <v>63554.78045583333</v>
      </c>
    </row>
    <row r="196" spans="1:8" x14ac:dyDescent="0.25">
      <c r="A196" s="1" t="str">
        <f>+'Pricing sheet'!A206</f>
        <v>STR3-3</v>
      </c>
      <c r="B196" s="75" t="str">
        <f>+'Pricing sheet'!B206</f>
        <v>SET STRUCTURE 1500 X 1500 4 ETAGES EP 4MM</v>
      </c>
      <c r="C196" s="75" t="str">
        <f>+'Pricing sheet'!C206</f>
        <v>STRUCTURE</v>
      </c>
      <c r="D196" s="75" t="str">
        <f>+'Pricing sheet'!D206</f>
        <v>SET</v>
      </c>
      <c r="E196" s="75">
        <f>+'Pricing sheet'!E206</f>
        <v>0</v>
      </c>
      <c r="F196" s="126">
        <f>+'Pricing sheet'!M206</f>
        <v>55920.008727916669</v>
      </c>
      <c r="G196" s="126">
        <f>+'Pricing sheet'!N206</f>
        <v>57671.758727916669</v>
      </c>
      <c r="H196" s="126">
        <f>+'Pricing sheet'!O206</f>
        <v>63554.78045583333</v>
      </c>
    </row>
    <row r="197" spans="1:8" x14ac:dyDescent="0.25">
      <c r="A197" s="1" t="str">
        <f>+'Pricing sheet'!A207</f>
        <v>STR3-4</v>
      </c>
      <c r="B197" s="75" t="str">
        <f>+'Pricing sheet'!B207</f>
        <v>SET STRUCTURE 1600 X 1600 4 ETAGES EP 4MM</v>
      </c>
      <c r="C197" s="75" t="str">
        <f>+'Pricing sheet'!C207</f>
        <v>STRUCTURE</v>
      </c>
      <c r="D197" s="75" t="str">
        <f>+'Pricing sheet'!D207</f>
        <v>SET</v>
      </c>
      <c r="E197" s="75">
        <f>+'Pricing sheet'!E207</f>
        <v>0</v>
      </c>
      <c r="F197" s="126">
        <f>+'Pricing sheet'!M207</f>
        <v>55920.008727916669</v>
      </c>
      <c r="G197" s="126">
        <f>+'Pricing sheet'!N207</f>
        <v>57671.758727916669</v>
      </c>
      <c r="H197" s="126">
        <f>+'Pricing sheet'!O207</f>
        <v>63554.78045583333</v>
      </c>
    </row>
    <row r="198" spans="1:8" x14ac:dyDescent="0.25">
      <c r="A198" s="1" t="str">
        <f>+'Pricing sheet'!A208</f>
        <v>STR4-1</v>
      </c>
      <c r="B198" s="75" t="str">
        <f>+'Pricing sheet'!B208</f>
        <v>SET STRUCTURE 1300 X 1300 5 ETAGES EP 4MM</v>
      </c>
      <c r="C198" s="75" t="str">
        <f>+'Pricing sheet'!C208</f>
        <v>STRUCTURE</v>
      </c>
      <c r="D198" s="75" t="str">
        <f>+'Pricing sheet'!D208</f>
        <v>SET</v>
      </c>
      <c r="E198" s="75">
        <f>+'Pricing sheet'!E208</f>
        <v>0</v>
      </c>
      <c r="F198" s="126">
        <f>+'Pricing sheet'!M208</f>
        <v>68842.057386666667</v>
      </c>
      <c r="G198" s="126">
        <f>+'Pricing sheet'!N208</f>
        <v>70998.057386666667</v>
      </c>
      <c r="H198" s="126">
        <f>+'Pricing sheet'!O208</f>
        <v>78256.130773333338</v>
      </c>
    </row>
    <row r="199" spans="1:8" x14ac:dyDescent="0.25">
      <c r="A199" s="1" t="str">
        <f>+'Pricing sheet'!A209</f>
        <v>STR4-2</v>
      </c>
      <c r="B199" s="75" t="str">
        <f>+'Pricing sheet'!B209</f>
        <v>SET STRUCTURE 1400 X 1400 5 ETAGES EP 4MM</v>
      </c>
      <c r="C199" s="75" t="str">
        <f>+'Pricing sheet'!C209</f>
        <v>STRUCTURE</v>
      </c>
      <c r="D199" s="75" t="str">
        <f>+'Pricing sheet'!D209</f>
        <v>SET</v>
      </c>
      <c r="E199" s="75">
        <f>+'Pricing sheet'!E209</f>
        <v>0</v>
      </c>
      <c r="F199" s="126">
        <f>+'Pricing sheet'!M209</f>
        <v>68842.057386666667</v>
      </c>
      <c r="G199" s="126">
        <f>+'Pricing sheet'!N209</f>
        <v>70998.057386666667</v>
      </c>
      <c r="H199" s="126">
        <f>+'Pricing sheet'!O209</f>
        <v>78256.130773333338</v>
      </c>
    </row>
    <row r="200" spans="1:8" x14ac:dyDescent="0.25">
      <c r="A200" s="1" t="str">
        <f>+'Pricing sheet'!A210</f>
        <v>STR4-3</v>
      </c>
      <c r="B200" s="75" t="str">
        <f>+'Pricing sheet'!B210</f>
        <v>SET STRUCTURE 1500 X 1500 5 ETAGES EP 4MM</v>
      </c>
      <c r="C200" s="75" t="str">
        <f>+'Pricing sheet'!C210</f>
        <v>STRUCTURE</v>
      </c>
      <c r="D200" s="75" t="str">
        <f>+'Pricing sheet'!D210</f>
        <v>SET</v>
      </c>
      <c r="E200" s="75">
        <f>+'Pricing sheet'!E210</f>
        <v>0</v>
      </c>
      <c r="F200" s="126">
        <f>+'Pricing sheet'!M210</f>
        <v>68842.057386666667</v>
      </c>
      <c r="G200" s="126">
        <f>+'Pricing sheet'!N210</f>
        <v>70998.057386666667</v>
      </c>
      <c r="H200" s="126">
        <f>+'Pricing sheet'!O210</f>
        <v>78256.130773333338</v>
      </c>
    </row>
    <row r="201" spans="1:8" x14ac:dyDescent="0.25">
      <c r="A201" s="1" t="str">
        <f>+'Pricing sheet'!A211</f>
        <v>STR4-4</v>
      </c>
      <c r="B201" s="75" t="str">
        <f>+'Pricing sheet'!B211</f>
        <v>SET STRUCTURE 1600 X 1600 5 ETAGES EP 4MM</v>
      </c>
      <c r="C201" s="75" t="str">
        <f>+'Pricing sheet'!C211</f>
        <v>STRUCTURE</v>
      </c>
      <c r="D201" s="75" t="str">
        <f>+'Pricing sheet'!D211</f>
        <v>SET</v>
      </c>
      <c r="E201" s="75">
        <f>+'Pricing sheet'!E211</f>
        <v>0</v>
      </c>
      <c r="F201" s="126">
        <f>+'Pricing sheet'!M211</f>
        <v>68842.057386666667</v>
      </c>
      <c r="G201" s="126">
        <f>+'Pricing sheet'!N211</f>
        <v>70998.057386666667</v>
      </c>
      <c r="H201" s="126">
        <f>+'Pricing sheet'!O211</f>
        <v>78256.130773333338</v>
      </c>
    </row>
    <row r="202" spans="1:8" x14ac:dyDescent="0.25">
      <c r="A202" s="1" t="str">
        <f>+'Pricing sheet'!A212</f>
        <v>STR5-1</v>
      </c>
      <c r="B202" s="75" t="str">
        <f>+'Pricing sheet'!B212</f>
        <v>SET STRUCTURE 1300 X 1300 6 ETAGES EP 4MM</v>
      </c>
      <c r="C202" s="75" t="str">
        <f>+'Pricing sheet'!C212</f>
        <v>STRUCTURE</v>
      </c>
      <c r="D202" s="75" t="str">
        <f>+'Pricing sheet'!D212</f>
        <v>SET</v>
      </c>
      <c r="E202" s="75">
        <f>+'Pricing sheet'!E212</f>
        <v>0</v>
      </c>
      <c r="F202" s="126">
        <f>+'Pricing sheet'!M212</f>
        <v>81770.642767916681</v>
      </c>
      <c r="G202" s="126">
        <f>+'Pricing sheet'!N212</f>
        <v>84330.892767916681</v>
      </c>
      <c r="H202" s="126">
        <f>+'Pricing sheet'!O212</f>
        <v>92970.554535833347</v>
      </c>
    </row>
    <row r="203" spans="1:8" x14ac:dyDescent="0.25">
      <c r="A203" s="1" t="str">
        <f>+'Pricing sheet'!A213</f>
        <v>STR5-2</v>
      </c>
      <c r="B203" s="75" t="str">
        <f>+'Pricing sheet'!B213</f>
        <v>SET STRUCTURE 1400 X 1400 6 ETAGES EP 4MM</v>
      </c>
      <c r="C203" s="75" t="str">
        <f>+'Pricing sheet'!C213</f>
        <v>STRUCTURE</v>
      </c>
      <c r="D203" s="75" t="str">
        <f>+'Pricing sheet'!D213</f>
        <v>SET</v>
      </c>
      <c r="E203" s="75">
        <f>+'Pricing sheet'!E213</f>
        <v>0</v>
      </c>
      <c r="F203" s="126">
        <f>+'Pricing sheet'!M213</f>
        <v>81770.642767916681</v>
      </c>
      <c r="G203" s="126">
        <f>+'Pricing sheet'!N213</f>
        <v>84330.892767916681</v>
      </c>
      <c r="H203" s="126">
        <f>+'Pricing sheet'!O213</f>
        <v>92970.554535833347</v>
      </c>
    </row>
    <row r="204" spans="1:8" x14ac:dyDescent="0.25">
      <c r="A204" s="1" t="str">
        <f>+'Pricing sheet'!A214</f>
        <v>STR5-3</v>
      </c>
      <c r="B204" s="75" t="str">
        <f>+'Pricing sheet'!B214</f>
        <v>SET STRUCTURE 1500 X 1500 6 ETAGES EP 4MM</v>
      </c>
      <c r="C204" s="75" t="str">
        <f>+'Pricing sheet'!C214</f>
        <v>STRUCTURE</v>
      </c>
      <c r="D204" s="75" t="str">
        <f>+'Pricing sheet'!D214</f>
        <v>SET</v>
      </c>
      <c r="E204" s="75">
        <f>+'Pricing sheet'!E214</f>
        <v>0</v>
      </c>
      <c r="F204" s="126">
        <f>+'Pricing sheet'!M214</f>
        <v>81770.642767916681</v>
      </c>
      <c r="G204" s="126">
        <f>+'Pricing sheet'!N214</f>
        <v>84330.892767916681</v>
      </c>
      <c r="H204" s="126">
        <f>+'Pricing sheet'!O214</f>
        <v>92970.554535833347</v>
      </c>
    </row>
    <row r="205" spans="1:8" x14ac:dyDescent="0.25">
      <c r="A205" s="1" t="str">
        <f>+'Pricing sheet'!A215</f>
        <v>STR5-4</v>
      </c>
      <c r="B205" s="75" t="str">
        <f>+'Pricing sheet'!B215</f>
        <v>SET STRUCTURE 1600 X 1600 6 ETAGES EP 4MM</v>
      </c>
      <c r="C205" s="75" t="str">
        <f>+'Pricing sheet'!C215</f>
        <v>STRUCTURE</v>
      </c>
      <c r="D205" s="75" t="str">
        <f>+'Pricing sheet'!D215</f>
        <v>SET</v>
      </c>
      <c r="E205" s="75">
        <f>+'Pricing sheet'!E215</f>
        <v>0</v>
      </c>
      <c r="F205" s="126">
        <f>+'Pricing sheet'!M215</f>
        <v>81770.642767916681</v>
      </c>
      <c r="G205" s="126">
        <f>+'Pricing sheet'!N215</f>
        <v>84330.892767916681</v>
      </c>
      <c r="H205" s="126">
        <f>+'Pricing sheet'!O215</f>
        <v>92970.554535833347</v>
      </c>
    </row>
    <row r="206" spans="1:8" x14ac:dyDescent="0.25">
      <c r="A206" s="1" t="str">
        <f>+'Pricing sheet'!A216</f>
        <v>STR6-1</v>
      </c>
      <c r="B206" s="75" t="str">
        <f>+'Pricing sheet'!B216</f>
        <v>SET STRUCTURE 1300 X 1300 7 ETAGES EP 4MM</v>
      </c>
      <c r="C206" s="75" t="str">
        <f>+'Pricing sheet'!C216</f>
        <v>STRUCTURE</v>
      </c>
      <c r="D206" s="75" t="str">
        <f>+'Pricing sheet'!D216</f>
        <v>SET</v>
      </c>
      <c r="E206" s="75">
        <f>+'Pricing sheet'!E216</f>
        <v>0</v>
      </c>
      <c r="F206" s="126">
        <f>+'Pricing sheet'!M216</f>
        <v>94705.764871666674</v>
      </c>
      <c r="G206" s="126">
        <f>+'Pricing sheet'!N216</f>
        <v>97670.264871666674</v>
      </c>
      <c r="H206" s="126">
        <f>+'Pricing sheet'!O216</f>
        <v>107698.05174333334</v>
      </c>
    </row>
    <row r="207" spans="1:8" x14ac:dyDescent="0.25">
      <c r="A207" s="1" t="str">
        <f>+'Pricing sheet'!A217</f>
        <v>STR6-2</v>
      </c>
      <c r="B207" s="75" t="str">
        <f>+'Pricing sheet'!B217</f>
        <v>SET STRUCTURE 1400 X 1400 7 ETAGES EP 4MM</v>
      </c>
      <c r="C207" s="75" t="str">
        <f>+'Pricing sheet'!C217</f>
        <v>STRUCTURE</v>
      </c>
      <c r="D207" s="75" t="str">
        <f>+'Pricing sheet'!D217</f>
        <v>SET</v>
      </c>
      <c r="E207" s="75">
        <f>+'Pricing sheet'!E217</f>
        <v>0</v>
      </c>
      <c r="F207" s="126">
        <f>+'Pricing sheet'!M217</f>
        <v>94705.764871666674</v>
      </c>
      <c r="G207" s="126">
        <f>+'Pricing sheet'!N217</f>
        <v>97670.264871666674</v>
      </c>
      <c r="H207" s="126">
        <f>+'Pricing sheet'!O217</f>
        <v>107698.05174333334</v>
      </c>
    </row>
    <row r="208" spans="1:8" x14ac:dyDescent="0.25">
      <c r="A208" s="1" t="str">
        <f>+'Pricing sheet'!A218</f>
        <v>STR6-3</v>
      </c>
      <c r="B208" s="75" t="str">
        <f>+'Pricing sheet'!B218</f>
        <v>SET STRUCTURE 1500 X 1500 7 ETAGES EP 4MM</v>
      </c>
      <c r="C208" s="75" t="str">
        <f>+'Pricing sheet'!C218</f>
        <v>STRUCTURE</v>
      </c>
      <c r="D208" s="75" t="str">
        <f>+'Pricing sheet'!D218</f>
        <v>SET</v>
      </c>
      <c r="E208" s="75">
        <f>+'Pricing sheet'!E218</f>
        <v>0</v>
      </c>
      <c r="F208" s="126">
        <f>+'Pricing sheet'!M218</f>
        <v>94705.764871666674</v>
      </c>
      <c r="G208" s="126">
        <f>+'Pricing sheet'!N218</f>
        <v>97670.264871666674</v>
      </c>
      <c r="H208" s="126">
        <f>+'Pricing sheet'!O218</f>
        <v>107698.05174333334</v>
      </c>
    </row>
    <row r="209" spans="1:8" x14ac:dyDescent="0.25">
      <c r="A209" s="1" t="str">
        <f>+'Pricing sheet'!A219</f>
        <v>STR6-4</v>
      </c>
      <c r="B209" s="75" t="str">
        <f>+'Pricing sheet'!B219</f>
        <v>SET STRUCTURE 1600 X 1600 7 ETAGES EP 4MM</v>
      </c>
      <c r="C209" s="75" t="str">
        <f>+'Pricing sheet'!C219</f>
        <v>STRUCTURE</v>
      </c>
      <c r="D209" s="75" t="str">
        <f>+'Pricing sheet'!D219</f>
        <v>SET</v>
      </c>
      <c r="E209" s="75">
        <f>+'Pricing sheet'!E219</f>
        <v>0</v>
      </c>
      <c r="F209" s="126">
        <f>+'Pricing sheet'!M219</f>
        <v>94705.764871666674</v>
      </c>
      <c r="G209" s="126">
        <f>+'Pricing sheet'!N219</f>
        <v>97670.264871666674</v>
      </c>
      <c r="H209" s="126">
        <f>+'Pricing sheet'!O219</f>
        <v>107698.05174333334</v>
      </c>
    </row>
    <row r="210" spans="1:8" x14ac:dyDescent="0.25">
      <c r="A210" s="1" t="str">
        <f>+'Pricing sheet'!A220</f>
        <v>STR7-1</v>
      </c>
      <c r="B210" s="75" t="str">
        <f>+'Pricing sheet'!B220</f>
        <v>SET STRUCTURE 1300 X 1300 8 ETAGES EP 4MM</v>
      </c>
      <c r="C210" s="75" t="str">
        <f>+'Pricing sheet'!C220</f>
        <v>STRUCTURE</v>
      </c>
      <c r="D210" s="75" t="str">
        <f>+'Pricing sheet'!D220</f>
        <v>SET</v>
      </c>
      <c r="E210" s="75">
        <f>+'Pricing sheet'!E220</f>
        <v>0</v>
      </c>
      <c r="F210" s="126">
        <f>+'Pricing sheet'!M220</f>
        <v>107647.42369791667</v>
      </c>
      <c r="G210" s="126">
        <f>+'Pricing sheet'!N220</f>
        <v>111016.17369791667</v>
      </c>
      <c r="H210" s="126">
        <f>+'Pricing sheet'!O220</f>
        <v>122438.62239583333</v>
      </c>
    </row>
    <row r="211" spans="1:8" x14ac:dyDescent="0.25">
      <c r="A211" s="1" t="str">
        <f>+'Pricing sheet'!A221</f>
        <v>STR7-2</v>
      </c>
      <c r="B211" s="75" t="str">
        <f>+'Pricing sheet'!B221</f>
        <v>SET STRUCTURE 1400 X 1400 8 ETAGES EP 4MM</v>
      </c>
      <c r="C211" s="75" t="str">
        <f>+'Pricing sheet'!C221</f>
        <v>STRUCTURE</v>
      </c>
      <c r="D211" s="75" t="str">
        <f>+'Pricing sheet'!D221</f>
        <v>SET</v>
      </c>
      <c r="E211" s="75">
        <f>+'Pricing sheet'!E221</f>
        <v>0</v>
      </c>
      <c r="F211" s="126">
        <f>+'Pricing sheet'!M221</f>
        <v>107647.42369791667</v>
      </c>
      <c r="G211" s="126">
        <f>+'Pricing sheet'!N221</f>
        <v>111016.17369791667</v>
      </c>
      <c r="H211" s="126">
        <f>+'Pricing sheet'!O221</f>
        <v>122438.62239583333</v>
      </c>
    </row>
    <row r="212" spans="1:8" x14ac:dyDescent="0.25">
      <c r="A212" s="1" t="str">
        <f>+'Pricing sheet'!A222</f>
        <v>STR7-3</v>
      </c>
      <c r="B212" s="75" t="str">
        <f>+'Pricing sheet'!B222</f>
        <v>SET STRUCTURE 1500 X 1500 8 ETAGES EP 4MM</v>
      </c>
      <c r="C212" s="75" t="str">
        <f>+'Pricing sheet'!C222</f>
        <v>STRUCTURE</v>
      </c>
      <c r="D212" s="75" t="str">
        <f>+'Pricing sheet'!D222</f>
        <v>SET</v>
      </c>
      <c r="E212" s="75">
        <f>+'Pricing sheet'!E222</f>
        <v>0</v>
      </c>
      <c r="F212" s="126">
        <f>+'Pricing sheet'!M222</f>
        <v>107647.42369791667</v>
      </c>
      <c r="G212" s="126">
        <f>+'Pricing sheet'!N222</f>
        <v>111016.17369791667</v>
      </c>
      <c r="H212" s="126">
        <f>+'Pricing sheet'!O222</f>
        <v>122438.62239583333</v>
      </c>
    </row>
    <row r="213" spans="1:8" x14ac:dyDescent="0.25">
      <c r="A213" s="1" t="str">
        <f>+'Pricing sheet'!A223</f>
        <v>STR7-4</v>
      </c>
      <c r="B213" s="75" t="str">
        <f>+'Pricing sheet'!B223</f>
        <v>SET STRUCTURE 1600 X 1600 8 ETAGES EP 4MM</v>
      </c>
      <c r="C213" s="75" t="str">
        <f>+'Pricing sheet'!C223</f>
        <v>STRUCTURE</v>
      </c>
      <c r="D213" s="75" t="str">
        <f>+'Pricing sheet'!D223</f>
        <v>SET</v>
      </c>
      <c r="E213" s="75">
        <f>+'Pricing sheet'!E223</f>
        <v>0</v>
      </c>
      <c r="F213" s="126">
        <f>+'Pricing sheet'!M223</f>
        <v>107647.42369791667</v>
      </c>
      <c r="G213" s="126">
        <f>+'Pricing sheet'!N223</f>
        <v>111016.17369791667</v>
      </c>
      <c r="H213" s="126">
        <f>+'Pricing sheet'!O223</f>
        <v>122438.62239583333</v>
      </c>
    </row>
    <row r="214" spans="1:8" x14ac:dyDescent="0.25">
      <c r="A214" s="1" t="str">
        <f>+'Pricing sheet'!A224</f>
        <v>HAB1</v>
      </c>
      <c r="B214" s="75" t="str">
        <f>+'Pricing sheet'!B224</f>
        <v>PANORAMIQUE SET STRUCTURE VERRE TREMPE 8MM BLANC</v>
      </c>
      <c r="C214" s="75" t="str">
        <f>+'Pricing sheet'!C224</f>
        <v>STRUCTURE</v>
      </c>
      <c r="D214" s="75" t="str">
        <f>+'Pricing sheet'!D224</f>
        <v>M²</v>
      </c>
      <c r="E214" s="75">
        <f>+'Pricing sheet'!E224</f>
        <v>0</v>
      </c>
      <c r="F214" s="126">
        <f>+'Pricing sheet'!M224</f>
        <v>968.75564555466667</v>
      </c>
      <c r="G214" s="126">
        <f>+'Pricing sheet'!N224</f>
        <v>999.13564555466667</v>
      </c>
      <c r="H214" s="126">
        <f>+'Pricing sheet'!O224</f>
        <v>1100.1169711093335</v>
      </c>
    </row>
    <row r="215" spans="1:8" x14ac:dyDescent="0.25">
      <c r="A215" s="1" t="str">
        <f>+'Pricing sheet'!A225</f>
        <v>HAB2</v>
      </c>
      <c r="B215" s="75" t="str">
        <f>+'Pricing sheet'!B225</f>
        <v>PANORAMIQUE SET STRUCTURE VERRE TREMPE 8MM FUME</v>
      </c>
      <c r="C215" s="75" t="str">
        <f>+'Pricing sheet'!C225</f>
        <v>STRUCTURE</v>
      </c>
      <c r="D215" s="75" t="str">
        <f>+'Pricing sheet'!D225</f>
        <v>M²</v>
      </c>
      <c r="E215" s="75">
        <f>+'Pricing sheet'!E225</f>
        <v>0</v>
      </c>
      <c r="F215" s="126">
        <f>+'Pricing sheet'!M225</f>
        <v>1046.8827095113334</v>
      </c>
      <c r="G215" s="126">
        <f>+'Pricing sheet'!N225</f>
        <v>1079.7127095113333</v>
      </c>
      <c r="H215" s="126">
        <f>+'Pricing sheet'!O225</f>
        <v>1188.8392990226666</v>
      </c>
    </row>
    <row r="216" spans="1:8" x14ac:dyDescent="0.25">
      <c r="A216" s="1" t="str">
        <f>+'Pricing sheet'!A226</f>
        <v>HAB3</v>
      </c>
      <c r="B216" s="75" t="str">
        <f>+'Pricing sheet'!B226</f>
        <v>HABILLAGE OPAQUE EN ALUCOBOND</v>
      </c>
      <c r="C216" s="75" t="str">
        <f>+'Pricing sheet'!C226</f>
        <v>STRUCTURE</v>
      </c>
      <c r="D216" s="75" t="str">
        <f>+'Pricing sheet'!D226</f>
        <v>M²</v>
      </c>
      <c r="E216" s="75">
        <f>+'Pricing sheet'!E226</f>
        <v>0</v>
      </c>
      <c r="F216" s="126">
        <f>+'Pricing sheet'!M226</f>
        <v>234.37298045000003</v>
      </c>
      <c r="G216" s="126">
        <f>+'Pricing sheet'!N226</f>
        <v>241.72298045000002</v>
      </c>
      <c r="H216" s="126">
        <f>+'Pricing sheet'!O226</f>
        <v>266.15056090000002</v>
      </c>
    </row>
    <row r="217" spans="1:8" x14ac:dyDescent="0.25">
      <c r="A217" s="1" t="str">
        <f>+'Pricing sheet'!A227</f>
        <v>IT.143</v>
      </c>
      <c r="B217" s="75" t="str">
        <f>+'Pricing sheet'!B227</f>
        <v>BOUTON DE CABINE TACTILE</v>
      </c>
      <c r="C217" s="75" t="str">
        <f>+'Pricing sheet'!C227</f>
        <v>BOUTONS</v>
      </c>
      <c r="D217" s="75" t="str">
        <f>+'Pricing sheet'!D227</f>
        <v>Pc</v>
      </c>
      <c r="E217" s="75">
        <f>+'Pricing sheet'!E227</f>
        <v>0</v>
      </c>
      <c r="F217" s="126">
        <f>+'Pricing sheet'!M227</f>
        <v>4062.770881866667</v>
      </c>
      <c r="G217" s="126">
        <f>+'Pricing sheet'!N227</f>
        <v>4190.1708818666666</v>
      </c>
      <c r="H217" s="126">
        <f>+'Pricing sheet'!O227</f>
        <v>4613.8881637333334</v>
      </c>
    </row>
    <row r="218" spans="1:8" x14ac:dyDescent="0.25">
      <c r="A218" s="1" t="str">
        <f>+'Pricing sheet'!A228</f>
        <v>IT.144</v>
      </c>
      <c r="B218" s="75" t="str">
        <f>+'Pricing sheet'!B228</f>
        <v>BOUTON PALIERE TACTILE</v>
      </c>
      <c r="C218" s="75" t="str">
        <f>+'Pricing sheet'!C228</f>
        <v>BOUTONS</v>
      </c>
      <c r="D218" s="75" t="str">
        <f>+'Pricing sheet'!D228</f>
        <v>Pc</v>
      </c>
      <c r="E218" s="75">
        <f>+'Pricing sheet'!E228</f>
        <v>0</v>
      </c>
      <c r="F218" s="126">
        <f>+'Pricing sheet'!M228</f>
        <v>281.24783584800002</v>
      </c>
      <c r="G218" s="126">
        <f>+'Pricing sheet'!N228</f>
        <v>290.06783584800002</v>
      </c>
      <c r="H218" s="126">
        <f>+'Pricing sheet'!O228</f>
        <v>319.38119169599997</v>
      </c>
    </row>
    <row r="219" spans="1:8" x14ac:dyDescent="0.25">
      <c r="A219" s="1" t="str">
        <f>+'Pricing sheet'!A229</f>
        <v>IT.145</v>
      </c>
      <c r="B219" s="75" t="str">
        <f>+'Pricing sheet'!B229</f>
        <v xml:space="preserve">PORTE CABINE BUS </v>
      </c>
      <c r="C219" s="75" t="str">
        <f>+'Pricing sheet'!C229</f>
        <v>PORTE</v>
      </c>
      <c r="D219" s="75" t="str">
        <f>+'Pricing sheet'!D229</f>
        <v>Pc</v>
      </c>
      <c r="E219" s="75">
        <f>+'Pricing sheet'!E229</f>
        <v>0</v>
      </c>
      <c r="F219" s="126">
        <f>+'Pricing sheet'!M229</f>
        <v>0</v>
      </c>
      <c r="G219" s="126">
        <f>+'Pricing sheet'!N229</f>
        <v>0</v>
      </c>
      <c r="H219" s="126">
        <f>+'Pricing sheet'!O229</f>
        <v>0</v>
      </c>
    </row>
    <row r="220" spans="1:8" x14ac:dyDescent="0.25">
      <c r="A220" s="1" t="str">
        <f>+'Pricing sheet'!A230</f>
        <v>IT.146</v>
      </c>
      <c r="B220" s="75" t="str">
        <f>+'Pricing sheet'!B230</f>
        <v xml:space="preserve">LEAR POMPE </v>
      </c>
      <c r="C220" s="75" t="str">
        <f>+'Pricing sheet'!C230</f>
        <v>PORTE</v>
      </c>
      <c r="D220" s="75" t="str">
        <f>+'Pricing sheet'!D230</f>
        <v>Pc</v>
      </c>
      <c r="E220" s="75">
        <f>+'Pricing sheet'!E230</f>
        <v>0</v>
      </c>
      <c r="F220" s="126">
        <f>+'Pricing sheet'!M230</f>
        <v>0</v>
      </c>
      <c r="G220" s="126">
        <f>+'Pricing sheet'!N230</f>
        <v>0</v>
      </c>
      <c r="H220" s="126">
        <f>+'Pricing sheet'!O230</f>
        <v>0</v>
      </c>
    </row>
    <row r="221" spans="1:8" x14ac:dyDescent="0.25">
      <c r="A221" s="1">
        <f>+'Pricing sheet'!A231</f>
        <v>0</v>
      </c>
      <c r="B221" s="75">
        <f>+'Pricing sheet'!B231</f>
        <v>0</v>
      </c>
      <c r="C221" s="75">
        <f>+'Pricing sheet'!C231</f>
        <v>0</v>
      </c>
      <c r="D221" s="75">
        <f>+'Pricing sheet'!D231</f>
        <v>0</v>
      </c>
      <c r="E221" s="75">
        <f>+'Pricing sheet'!E231</f>
        <v>0</v>
      </c>
      <c r="F221" s="126">
        <f>+'Pricing sheet'!M231</f>
        <v>0</v>
      </c>
      <c r="G221" s="126">
        <f>+'Pricing sheet'!N231</f>
        <v>0</v>
      </c>
      <c r="H221" s="126">
        <f>+'Pricing sheet'!O231</f>
        <v>0</v>
      </c>
    </row>
    <row r="222" spans="1:8" x14ac:dyDescent="0.25">
      <c r="A222" s="1">
        <f>+'Pricing sheet'!A232</f>
        <v>0</v>
      </c>
      <c r="B222" s="75">
        <f>+'Pricing sheet'!B232</f>
        <v>0</v>
      </c>
      <c r="C222" s="75">
        <f>+'Pricing sheet'!C232</f>
        <v>0</v>
      </c>
      <c r="D222" s="75">
        <f>+'Pricing sheet'!D232</f>
        <v>0</v>
      </c>
      <c r="E222" s="75">
        <f>+'Pricing sheet'!E232</f>
        <v>0</v>
      </c>
      <c r="F222" s="126">
        <f>+'Pricing sheet'!M232</f>
        <v>0</v>
      </c>
      <c r="G222" s="126">
        <f>+'Pricing sheet'!N232</f>
        <v>0</v>
      </c>
      <c r="H222" s="126">
        <f>+'Pricing sheet'!O232</f>
        <v>0</v>
      </c>
    </row>
    <row r="223" spans="1:8" x14ac:dyDescent="0.25">
      <c r="A223" s="1">
        <f>+'Pricing sheet'!A233</f>
        <v>0</v>
      </c>
      <c r="B223" s="75">
        <f>+'Pricing sheet'!B233</f>
        <v>0</v>
      </c>
      <c r="C223" s="75">
        <f>+'Pricing sheet'!C233</f>
        <v>0</v>
      </c>
      <c r="D223" s="75">
        <f>+'Pricing sheet'!D233</f>
        <v>0</v>
      </c>
      <c r="E223" s="75">
        <f>+'Pricing sheet'!E233</f>
        <v>0</v>
      </c>
      <c r="F223" s="126">
        <f>+'Pricing sheet'!M233</f>
        <v>0</v>
      </c>
      <c r="G223" s="126">
        <f>+'Pricing sheet'!N233</f>
        <v>0</v>
      </c>
      <c r="H223" s="126">
        <f>+'Pricing sheet'!O233</f>
        <v>0</v>
      </c>
    </row>
    <row r="224" spans="1:8" x14ac:dyDescent="0.25">
      <c r="A224" s="1">
        <f>+'Pricing sheet'!A234</f>
        <v>0</v>
      </c>
      <c r="B224" s="75">
        <f>+'Pricing sheet'!B234</f>
        <v>0</v>
      </c>
      <c r="C224" s="75">
        <f>+'Pricing sheet'!C234</f>
        <v>0</v>
      </c>
      <c r="D224" s="75">
        <f>+'Pricing sheet'!D234</f>
        <v>0</v>
      </c>
      <c r="E224" s="75">
        <f>+'Pricing sheet'!E234</f>
        <v>0</v>
      </c>
      <c r="F224" s="126">
        <f>+'Pricing sheet'!M234</f>
        <v>0</v>
      </c>
      <c r="G224" s="126">
        <f>+'Pricing sheet'!N234</f>
        <v>0</v>
      </c>
      <c r="H224" s="126">
        <f>+'Pricing sheet'!O234</f>
        <v>0</v>
      </c>
    </row>
    <row r="225" spans="1:8" x14ac:dyDescent="0.25">
      <c r="A225" s="1">
        <f>+'Pricing sheet'!A235</f>
        <v>0</v>
      </c>
      <c r="B225" s="75">
        <f>+'Pricing sheet'!B235</f>
        <v>0</v>
      </c>
      <c r="C225" s="75">
        <f>+'Pricing sheet'!C235</f>
        <v>0</v>
      </c>
      <c r="D225" s="75">
        <f>+'Pricing sheet'!D235</f>
        <v>0</v>
      </c>
      <c r="E225" s="75">
        <f>+'Pricing sheet'!E235</f>
        <v>0</v>
      </c>
      <c r="F225" s="126">
        <f>+'Pricing sheet'!M235</f>
        <v>0</v>
      </c>
      <c r="G225" s="126">
        <f>+'Pricing sheet'!N235</f>
        <v>0</v>
      </c>
      <c r="H225" s="126">
        <f>+'Pricing sheet'!O235</f>
        <v>0</v>
      </c>
    </row>
    <row r="226" spans="1:8" x14ac:dyDescent="0.25">
      <c r="A226" s="1">
        <f>+'Pricing sheet'!A236</f>
        <v>0</v>
      </c>
      <c r="B226" s="75">
        <f>+'Pricing sheet'!B236</f>
        <v>0</v>
      </c>
      <c r="C226" s="75">
        <f>+'Pricing sheet'!C236</f>
        <v>0</v>
      </c>
      <c r="D226" s="75">
        <f>+'Pricing sheet'!D236</f>
        <v>0</v>
      </c>
      <c r="E226" s="75">
        <f>+'Pricing sheet'!E236</f>
        <v>0</v>
      </c>
      <c r="F226" s="126">
        <f>+'Pricing sheet'!M236</f>
        <v>0</v>
      </c>
      <c r="G226" s="126">
        <f>+'Pricing sheet'!N236</f>
        <v>0</v>
      </c>
      <c r="H226" s="126">
        <f>+'Pricing sheet'!O236</f>
        <v>0</v>
      </c>
    </row>
    <row r="227" spans="1:8" x14ac:dyDescent="0.25">
      <c r="A227" s="1">
        <f>+'Pricing sheet'!A237</f>
        <v>0</v>
      </c>
      <c r="B227" s="75">
        <f>+'Pricing sheet'!B237</f>
        <v>0</v>
      </c>
      <c r="C227" s="75">
        <f>+'Pricing sheet'!C237</f>
        <v>0</v>
      </c>
      <c r="D227" s="75">
        <f>+'Pricing sheet'!D237</f>
        <v>0</v>
      </c>
      <c r="E227" s="75">
        <f>+'Pricing sheet'!E237</f>
        <v>0</v>
      </c>
      <c r="F227" s="126">
        <f>+'Pricing sheet'!M237</f>
        <v>0</v>
      </c>
      <c r="G227" s="126">
        <f>+'Pricing sheet'!N237</f>
        <v>0</v>
      </c>
      <c r="H227" s="126">
        <f>+'Pricing sheet'!O237</f>
        <v>0</v>
      </c>
    </row>
    <row r="228" spans="1:8" x14ac:dyDescent="0.25">
      <c r="A228" s="1">
        <f>+'Pricing sheet'!A238</f>
        <v>0</v>
      </c>
      <c r="B228" s="75">
        <f>+'Pricing sheet'!B238</f>
        <v>0</v>
      </c>
      <c r="C228" s="75">
        <f>+'Pricing sheet'!C238</f>
        <v>0</v>
      </c>
      <c r="D228" s="75">
        <f>+'Pricing sheet'!D238</f>
        <v>0</v>
      </c>
      <c r="E228" s="75">
        <f>+'Pricing sheet'!E238</f>
        <v>0</v>
      </c>
      <c r="F228" s="126">
        <f>+'Pricing sheet'!M238</f>
        <v>0</v>
      </c>
      <c r="G228" s="126">
        <f>+'Pricing sheet'!N238</f>
        <v>0</v>
      </c>
      <c r="H228" s="126">
        <f>+'Pricing sheet'!O238</f>
        <v>0</v>
      </c>
    </row>
    <row r="229" spans="1:8" x14ac:dyDescent="0.25">
      <c r="A229" s="1">
        <f>+'Pricing sheet'!A239</f>
        <v>0</v>
      </c>
      <c r="B229" s="75">
        <f>+'Pricing sheet'!B239</f>
        <v>0</v>
      </c>
      <c r="C229" s="75">
        <f>+'Pricing sheet'!C239</f>
        <v>0</v>
      </c>
      <c r="D229" s="75">
        <f>+'Pricing sheet'!D239</f>
        <v>0</v>
      </c>
      <c r="E229" s="75">
        <f>+'Pricing sheet'!E239</f>
        <v>0</v>
      </c>
      <c r="F229" s="126">
        <f>+'Pricing sheet'!M239</f>
        <v>0</v>
      </c>
      <c r="G229" s="126">
        <f>+'Pricing sheet'!N239</f>
        <v>0</v>
      </c>
      <c r="H229" s="126">
        <f>+'Pricing sheet'!O239</f>
        <v>0</v>
      </c>
    </row>
    <row r="230" spans="1:8" x14ac:dyDescent="0.25">
      <c r="A230" s="1">
        <f>+'Pricing sheet'!A240</f>
        <v>0</v>
      </c>
      <c r="B230" s="75">
        <f>+'Pricing sheet'!B240</f>
        <v>0</v>
      </c>
      <c r="C230" s="75">
        <f>+'Pricing sheet'!C240</f>
        <v>0</v>
      </c>
      <c r="D230" s="75">
        <f>+'Pricing sheet'!D240</f>
        <v>0</v>
      </c>
      <c r="E230" s="75">
        <f>+'Pricing sheet'!E240</f>
        <v>0</v>
      </c>
      <c r="F230" s="126">
        <f>+'Pricing sheet'!M240</f>
        <v>0</v>
      </c>
      <c r="G230" s="126">
        <f>+'Pricing sheet'!N240</f>
        <v>0</v>
      </c>
      <c r="H230" s="126">
        <f>+'Pricing sheet'!O240</f>
        <v>0</v>
      </c>
    </row>
    <row r="231" spans="1:8" x14ac:dyDescent="0.25">
      <c r="A231" s="1">
        <f>+'Pricing sheet'!A241</f>
        <v>0</v>
      </c>
      <c r="B231" s="75">
        <f>+'Pricing sheet'!B241</f>
        <v>0</v>
      </c>
      <c r="C231" s="75">
        <f>+'Pricing sheet'!C241</f>
        <v>0</v>
      </c>
      <c r="D231" s="75">
        <f>+'Pricing sheet'!D241</f>
        <v>0</v>
      </c>
      <c r="E231" s="75">
        <f>+'Pricing sheet'!E241</f>
        <v>0</v>
      </c>
      <c r="F231" s="126">
        <f>+'Pricing sheet'!M241</f>
        <v>0</v>
      </c>
      <c r="G231" s="126">
        <f>+'Pricing sheet'!N241</f>
        <v>0</v>
      </c>
      <c r="H231" s="126">
        <f>+'Pricing sheet'!O241</f>
        <v>0</v>
      </c>
    </row>
    <row r="232" spans="1:8" x14ac:dyDescent="0.25">
      <c r="A232" s="1">
        <f>+'Pricing sheet'!A242</f>
        <v>0</v>
      </c>
      <c r="B232" s="75">
        <f>+'Pricing sheet'!B242</f>
        <v>0</v>
      </c>
      <c r="C232" s="75">
        <f>+'Pricing sheet'!C242</f>
        <v>0</v>
      </c>
      <c r="D232" s="75">
        <f>+'Pricing sheet'!D242</f>
        <v>0</v>
      </c>
      <c r="E232" s="75">
        <f>+'Pricing sheet'!E242</f>
        <v>0</v>
      </c>
      <c r="F232" s="126">
        <f>+'Pricing sheet'!M242</f>
        <v>0</v>
      </c>
      <c r="G232" s="126">
        <f>+'Pricing sheet'!N242</f>
        <v>0</v>
      </c>
      <c r="H232" s="126">
        <f>+'Pricing sheet'!O242</f>
        <v>0</v>
      </c>
    </row>
    <row r="233" spans="1:8" x14ac:dyDescent="0.25">
      <c r="A233" s="1">
        <f>+'Pricing sheet'!A243</f>
        <v>0</v>
      </c>
      <c r="B233" s="75">
        <f>+'Pricing sheet'!B243</f>
        <v>0</v>
      </c>
      <c r="C233" s="75">
        <f>+'Pricing sheet'!C243</f>
        <v>0</v>
      </c>
      <c r="D233" s="75">
        <f>+'Pricing sheet'!D243</f>
        <v>0</v>
      </c>
      <c r="E233" s="75">
        <f>+'Pricing sheet'!E243</f>
        <v>0</v>
      </c>
      <c r="F233" s="126">
        <f>+'Pricing sheet'!M243</f>
        <v>0</v>
      </c>
      <c r="G233" s="126">
        <f>+'Pricing sheet'!N243</f>
        <v>0</v>
      </c>
      <c r="H233" s="126">
        <f>+'Pricing sheet'!O243</f>
        <v>0</v>
      </c>
    </row>
    <row r="234" spans="1:8" x14ac:dyDescent="0.25">
      <c r="A234" s="1">
        <f>+'Pricing sheet'!A244</f>
        <v>0</v>
      </c>
      <c r="B234" s="75">
        <f>+'Pricing sheet'!B244</f>
        <v>0</v>
      </c>
      <c r="C234" s="75">
        <f>+'Pricing sheet'!C244</f>
        <v>0</v>
      </c>
      <c r="D234" s="75">
        <f>+'Pricing sheet'!D244</f>
        <v>0</v>
      </c>
      <c r="E234" s="75">
        <f>+'Pricing sheet'!E244</f>
        <v>0</v>
      </c>
      <c r="F234" s="126">
        <f>+'Pricing sheet'!M244</f>
        <v>0</v>
      </c>
      <c r="G234" s="126">
        <f>+'Pricing sheet'!N244</f>
        <v>0</v>
      </c>
      <c r="H234" s="126">
        <f>+'Pricing sheet'!O244</f>
        <v>0</v>
      </c>
    </row>
    <row r="235" spans="1:8" x14ac:dyDescent="0.25">
      <c r="A235" s="1">
        <f>+'Pricing sheet'!A245</f>
        <v>0</v>
      </c>
      <c r="B235" s="75">
        <f>+'Pricing sheet'!B245</f>
        <v>0</v>
      </c>
      <c r="C235" s="75">
        <f>+'Pricing sheet'!C245</f>
        <v>0</v>
      </c>
      <c r="D235" s="75">
        <f>+'Pricing sheet'!D245</f>
        <v>0</v>
      </c>
      <c r="E235" s="75">
        <f>+'Pricing sheet'!E245</f>
        <v>0</v>
      </c>
      <c r="F235" s="126">
        <f>+'Pricing sheet'!M245</f>
        <v>0</v>
      </c>
      <c r="G235" s="126">
        <f>+'Pricing sheet'!N245</f>
        <v>0</v>
      </c>
      <c r="H235" s="126">
        <f>+'Pricing sheet'!O245</f>
        <v>0</v>
      </c>
    </row>
    <row r="236" spans="1:8" x14ac:dyDescent="0.25">
      <c r="A236" s="1">
        <f>+'Pricing sheet'!A246</f>
        <v>0</v>
      </c>
      <c r="B236" s="75">
        <f>+'Pricing sheet'!B246</f>
        <v>0</v>
      </c>
      <c r="C236" s="75">
        <f>+'Pricing sheet'!C246</f>
        <v>0</v>
      </c>
      <c r="D236" s="75">
        <f>+'Pricing sheet'!D246</f>
        <v>0</v>
      </c>
      <c r="E236" s="75">
        <f>+'Pricing sheet'!E246</f>
        <v>0</v>
      </c>
      <c r="F236" s="126">
        <f>+'Pricing sheet'!M246</f>
        <v>0</v>
      </c>
      <c r="G236" s="126">
        <f>+'Pricing sheet'!N246</f>
        <v>0</v>
      </c>
      <c r="H236" s="126">
        <f>+'Pricing sheet'!O246</f>
        <v>0</v>
      </c>
    </row>
    <row r="237" spans="1:8" x14ac:dyDescent="0.25">
      <c r="A237" s="1">
        <f>+'Pricing sheet'!A247</f>
        <v>0</v>
      </c>
      <c r="B237" s="75">
        <f>+'Pricing sheet'!B247</f>
        <v>0</v>
      </c>
      <c r="C237" s="75">
        <f>+'Pricing sheet'!C247</f>
        <v>0</v>
      </c>
      <c r="D237" s="75">
        <f>+'Pricing sheet'!D247</f>
        <v>0</v>
      </c>
      <c r="E237" s="75">
        <f>+'Pricing sheet'!E247</f>
        <v>0</v>
      </c>
      <c r="F237" s="126">
        <f>+'Pricing sheet'!M247</f>
        <v>0</v>
      </c>
      <c r="G237" s="126">
        <f>+'Pricing sheet'!N247</f>
        <v>0</v>
      </c>
      <c r="H237" s="126">
        <f>+'Pricing sheet'!O247</f>
        <v>0</v>
      </c>
    </row>
    <row r="238" spans="1:8" x14ac:dyDescent="0.25">
      <c r="A238" s="1">
        <f>+'Pricing sheet'!A248</f>
        <v>0</v>
      </c>
      <c r="B238" s="75">
        <f>+'Pricing sheet'!B248</f>
        <v>0</v>
      </c>
      <c r="C238" s="75">
        <f>+'Pricing sheet'!C248</f>
        <v>0</v>
      </c>
      <c r="D238" s="75">
        <f>+'Pricing sheet'!D248</f>
        <v>0</v>
      </c>
      <c r="E238" s="75">
        <f>+'Pricing sheet'!E248</f>
        <v>0</v>
      </c>
      <c r="F238" s="126">
        <f>+'Pricing sheet'!M248</f>
        <v>0</v>
      </c>
      <c r="G238" s="126">
        <f>+'Pricing sheet'!N248</f>
        <v>0</v>
      </c>
      <c r="H238" s="126">
        <f>+'Pricing sheet'!O248</f>
        <v>0</v>
      </c>
    </row>
    <row r="239" spans="1:8" x14ac:dyDescent="0.25">
      <c r="A239" s="1">
        <f>+'Pricing sheet'!A249</f>
        <v>0</v>
      </c>
      <c r="B239" s="75">
        <f>+'Pricing sheet'!B249</f>
        <v>0</v>
      </c>
      <c r="C239" s="75">
        <f>+'Pricing sheet'!C249</f>
        <v>0</v>
      </c>
      <c r="D239" s="75">
        <f>+'Pricing sheet'!D249</f>
        <v>0</v>
      </c>
      <c r="E239" s="75">
        <f>+'Pricing sheet'!E249</f>
        <v>0</v>
      </c>
      <c r="F239" s="126">
        <f>+'Pricing sheet'!M249</f>
        <v>0</v>
      </c>
      <c r="G239" s="126">
        <f>+'Pricing sheet'!N249</f>
        <v>0</v>
      </c>
      <c r="H239" s="126">
        <f>+'Pricing sheet'!O249</f>
        <v>0</v>
      </c>
    </row>
    <row r="240" spans="1:8" x14ac:dyDescent="0.25">
      <c r="A240" s="1">
        <f>+'Pricing sheet'!A250</f>
        <v>0</v>
      </c>
      <c r="B240" s="75">
        <f>+'Pricing sheet'!B250</f>
        <v>0</v>
      </c>
      <c r="C240" s="75">
        <f>+'Pricing sheet'!C250</f>
        <v>0</v>
      </c>
      <c r="D240" s="75">
        <f>+'Pricing sheet'!D250</f>
        <v>0</v>
      </c>
      <c r="E240" s="75">
        <f>+'Pricing sheet'!E250</f>
        <v>0</v>
      </c>
      <c r="F240" s="126">
        <f>+'Pricing sheet'!M250</f>
        <v>0</v>
      </c>
      <c r="G240" s="126">
        <f>+'Pricing sheet'!N250</f>
        <v>0</v>
      </c>
      <c r="H240" s="126">
        <f>+'Pricing sheet'!O250</f>
        <v>0</v>
      </c>
    </row>
    <row r="241" spans="1:8" x14ac:dyDescent="0.25">
      <c r="A241" s="1">
        <f>+'Pricing sheet'!A251</f>
        <v>0</v>
      </c>
      <c r="B241" s="75">
        <f>+'Pricing sheet'!B251</f>
        <v>0</v>
      </c>
      <c r="C241" s="75">
        <f>+'Pricing sheet'!C251</f>
        <v>0</v>
      </c>
      <c r="D241" s="75">
        <f>+'Pricing sheet'!D251</f>
        <v>0</v>
      </c>
      <c r="E241" s="75">
        <f>+'Pricing sheet'!E251</f>
        <v>0</v>
      </c>
      <c r="F241" s="126">
        <f>+'Pricing sheet'!M251</f>
        <v>0</v>
      </c>
      <c r="G241" s="126">
        <f>+'Pricing sheet'!N251</f>
        <v>0</v>
      </c>
      <c r="H241" s="126">
        <f>+'Pricing sheet'!O251</f>
        <v>0</v>
      </c>
    </row>
    <row r="242" spans="1:8" x14ac:dyDescent="0.25">
      <c r="A242" s="1">
        <f>+'Pricing sheet'!A252</f>
        <v>0</v>
      </c>
      <c r="B242" s="75">
        <f>+'Pricing sheet'!B252</f>
        <v>0</v>
      </c>
      <c r="C242" s="75">
        <f>+'Pricing sheet'!C252</f>
        <v>0</v>
      </c>
      <c r="D242" s="75">
        <f>+'Pricing sheet'!D252</f>
        <v>0</v>
      </c>
      <c r="E242" s="75">
        <f>+'Pricing sheet'!E252</f>
        <v>0</v>
      </c>
      <c r="F242" s="126">
        <f>+'Pricing sheet'!M252</f>
        <v>0</v>
      </c>
      <c r="G242" s="126">
        <f>+'Pricing sheet'!N252</f>
        <v>0</v>
      </c>
      <c r="H242" s="126">
        <f>+'Pricing sheet'!O252</f>
        <v>0</v>
      </c>
    </row>
    <row r="243" spans="1:8" x14ac:dyDescent="0.25">
      <c r="A243" s="1">
        <f>+'Pricing sheet'!A253</f>
        <v>0</v>
      </c>
      <c r="B243" s="75">
        <f>+'Pricing sheet'!B253</f>
        <v>0</v>
      </c>
      <c r="C243" s="75">
        <f>+'Pricing sheet'!C253</f>
        <v>0</v>
      </c>
      <c r="D243" s="75">
        <f>+'Pricing sheet'!D253</f>
        <v>0</v>
      </c>
      <c r="E243" s="75">
        <f>+'Pricing sheet'!E253</f>
        <v>0</v>
      </c>
      <c r="F243" s="126">
        <f>+'Pricing sheet'!M253</f>
        <v>0</v>
      </c>
      <c r="G243" s="126">
        <f>+'Pricing sheet'!N253</f>
        <v>0</v>
      </c>
      <c r="H243" s="126">
        <f>+'Pricing sheet'!O253</f>
        <v>0</v>
      </c>
    </row>
    <row r="244" spans="1:8" x14ac:dyDescent="0.25">
      <c r="A244" s="1">
        <f>+'Pricing sheet'!A254</f>
        <v>0</v>
      </c>
      <c r="B244" s="75">
        <f>+'Pricing sheet'!B254</f>
        <v>0</v>
      </c>
      <c r="C244" s="75">
        <f>+'Pricing sheet'!C254</f>
        <v>0</v>
      </c>
      <c r="D244" s="75">
        <f>+'Pricing sheet'!D254</f>
        <v>0</v>
      </c>
      <c r="E244" s="75">
        <f>+'Pricing sheet'!E254</f>
        <v>0</v>
      </c>
      <c r="F244" s="126">
        <f>+'Pricing sheet'!M254</f>
        <v>0</v>
      </c>
      <c r="G244" s="126">
        <f>+'Pricing sheet'!N254</f>
        <v>0</v>
      </c>
      <c r="H244" s="126">
        <f>+'Pricing sheet'!O254</f>
        <v>0</v>
      </c>
    </row>
    <row r="245" spans="1:8" x14ac:dyDescent="0.25">
      <c r="A245" s="1">
        <f>+'Pricing sheet'!A255</f>
        <v>0</v>
      </c>
      <c r="B245" s="75">
        <f>+'Pricing sheet'!B255</f>
        <v>0</v>
      </c>
      <c r="C245" s="75">
        <f>+'Pricing sheet'!C255</f>
        <v>0</v>
      </c>
      <c r="D245" s="75">
        <f>+'Pricing sheet'!D255</f>
        <v>0</v>
      </c>
      <c r="E245" s="75">
        <f>+'Pricing sheet'!E255</f>
        <v>0</v>
      </c>
      <c r="F245" s="126">
        <f>+'Pricing sheet'!M255</f>
        <v>0</v>
      </c>
      <c r="G245" s="126">
        <f>+'Pricing sheet'!N255</f>
        <v>0</v>
      </c>
      <c r="H245" s="126">
        <f>+'Pricing sheet'!O255</f>
        <v>0</v>
      </c>
    </row>
    <row r="246" spans="1:8" x14ac:dyDescent="0.25">
      <c r="A246" s="1">
        <f>+'Pricing sheet'!A256</f>
        <v>0</v>
      </c>
      <c r="B246" s="75">
        <f>+'Pricing sheet'!B256</f>
        <v>0</v>
      </c>
      <c r="C246" s="75">
        <f>+'Pricing sheet'!C256</f>
        <v>0</v>
      </c>
      <c r="D246" s="75">
        <f>+'Pricing sheet'!D256</f>
        <v>0</v>
      </c>
      <c r="E246" s="75">
        <f>+'Pricing sheet'!E256</f>
        <v>0</v>
      </c>
      <c r="F246" s="126">
        <f>+'Pricing sheet'!M256</f>
        <v>0</v>
      </c>
      <c r="G246" s="126">
        <f>+'Pricing sheet'!N256</f>
        <v>0</v>
      </c>
      <c r="H246" s="126">
        <f>+'Pricing sheet'!O256</f>
        <v>0</v>
      </c>
    </row>
    <row r="247" spans="1:8" x14ac:dyDescent="0.25">
      <c r="A247" s="1">
        <f>+'Pricing sheet'!A257</f>
        <v>0</v>
      </c>
      <c r="B247" s="75">
        <f>+'Pricing sheet'!B257</f>
        <v>0</v>
      </c>
      <c r="C247" s="75">
        <f>+'Pricing sheet'!C257</f>
        <v>0</v>
      </c>
      <c r="D247" s="75">
        <f>+'Pricing sheet'!D257</f>
        <v>0</v>
      </c>
      <c r="E247" s="75">
        <f>+'Pricing sheet'!E257</f>
        <v>0</v>
      </c>
      <c r="F247" s="126">
        <f>+'Pricing sheet'!M257</f>
        <v>0</v>
      </c>
      <c r="G247" s="126">
        <f>+'Pricing sheet'!N257</f>
        <v>0</v>
      </c>
      <c r="H247" s="126">
        <f>+'Pricing sheet'!O257</f>
        <v>0</v>
      </c>
    </row>
    <row r="248" spans="1:8" x14ac:dyDescent="0.25">
      <c r="A248" s="1">
        <f>+'Pricing sheet'!A258</f>
        <v>0</v>
      </c>
      <c r="B248" s="75">
        <f>+'Pricing sheet'!B258</f>
        <v>0</v>
      </c>
      <c r="C248" s="75">
        <f>+'Pricing sheet'!C258</f>
        <v>0</v>
      </c>
      <c r="D248" s="75">
        <f>+'Pricing sheet'!D258</f>
        <v>0</v>
      </c>
      <c r="E248" s="75">
        <f>+'Pricing sheet'!E258</f>
        <v>0</v>
      </c>
      <c r="F248" s="126">
        <f>+'Pricing sheet'!M258</f>
        <v>0</v>
      </c>
      <c r="G248" s="126">
        <f>+'Pricing sheet'!N258</f>
        <v>0</v>
      </c>
      <c r="H248" s="126">
        <f>+'Pricing sheet'!O258</f>
        <v>0</v>
      </c>
    </row>
    <row r="249" spans="1:8" x14ac:dyDescent="0.25">
      <c r="A249" s="1">
        <f>+'Pricing sheet'!A259</f>
        <v>0</v>
      </c>
      <c r="B249" s="75">
        <f>+'Pricing sheet'!B259</f>
        <v>0</v>
      </c>
      <c r="C249" s="75">
        <f>+'Pricing sheet'!C259</f>
        <v>0</v>
      </c>
      <c r="D249" s="75">
        <f>+'Pricing sheet'!D259</f>
        <v>0</v>
      </c>
      <c r="E249" s="75">
        <f>+'Pricing sheet'!E259</f>
        <v>0</v>
      </c>
      <c r="F249" s="126">
        <f>+'Pricing sheet'!M259</f>
        <v>0</v>
      </c>
      <c r="G249" s="126">
        <f>+'Pricing sheet'!N259</f>
        <v>0</v>
      </c>
      <c r="H249" s="126">
        <f>+'Pricing sheet'!O259</f>
        <v>0</v>
      </c>
    </row>
    <row r="250" spans="1:8" x14ac:dyDescent="0.25">
      <c r="A250" s="1">
        <f>+'Pricing sheet'!A260</f>
        <v>0</v>
      </c>
      <c r="B250" s="75">
        <f>+'Pricing sheet'!B260</f>
        <v>0</v>
      </c>
      <c r="C250" s="75">
        <f>+'Pricing sheet'!C260</f>
        <v>0</v>
      </c>
      <c r="D250" s="75">
        <f>+'Pricing sheet'!D260</f>
        <v>0</v>
      </c>
      <c r="E250" s="75">
        <f>+'Pricing sheet'!E260</f>
        <v>0</v>
      </c>
      <c r="F250" s="126">
        <f>+'Pricing sheet'!M260</f>
        <v>0</v>
      </c>
      <c r="G250" s="126">
        <f>+'Pricing sheet'!N260</f>
        <v>0</v>
      </c>
      <c r="H250" s="126">
        <f>+'Pricing sheet'!O260</f>
        <v>0</v>
      </c>
    </row>
    <row r="251" spans="1:8" x14ac:dyDescent="0.25">
      <c r="A251" s="1">
        <f>+'Pricing sheet'!A261</f>
        <v>0</v>
      </c>
      <c r="B251" s="75">
        <f>+'Pricing sheet'!B261</f>
        <v>0</v>
      </c>
      <c r="C251" s="75">
        <f>+'Pricing sheet'!C261</f>
        <v>0</v>
      </c>
      <c r="D251" s="75">
        <f>+'Pricing sheet'!D261</f>
        <v>0</v>
      </c>
      <c r="E251" s="75">
        <f>+'Pricing sheet'!E261</f>
        <v>0</v>
      </c>
      <c r="F251" s="126">
        <f>+'Pricing sheet'!M261</f>
        <v>0</v>
      </c>
      <c r="G251" s="126">
        <f>+'Pricing sheet'!N261</f>
        <v>0</v>
      </c>
      <c r="H251" s="126">
        <f>+'Pricing sheet'!O261</f>
        <v>0</v>
      </c>
    </row>
    <row r="252" spans="1:8" x14ac:dyDescent="0.25">
      <c r="A252" s="1">
        <f>+'Pricing sheet'!A262</f>
        <v>0</v>
      </c>
      <c r="B252" s="75">
        <f>+'Pricing sheet'!B262</f>
        <v>0</v>
      </c>
      <c r="C252" s="75">
        <f>+'Pricing sheet'!C262</f>
        <v>0</v>
      </c>
      <c r="D252" s="75">
        <f>+'Pricing sheet'!D262</f>
        <v>0</v>
      </c>
      <c r="E252" s="75">
        <f>+'Pricing sheet'!E262</f>
        <v>0</v>
      </c>
      <c r="F252" s="126">
        <f>+'Pricing sheet'!M262</f>
        <v>0</v>
      </c>
      <c r="G252" s="126">
        <f>+'Pricing sheet'!N262</f>
        <v>0</v>
      </c>
      <c r="H252" s="126">
        <f>+'Pricing sheet'!O262</f>
        <v>0</v>
      </c>
    </row>
    <row r="253" spans="1:8" x14ac:dyDescent="0.25">
      <c r="A253" s="1">
        <f>+'Pricing sheet'!A263</f>
        <v>0</v>
      </c>
      <c r="B253" s="75">
        <f>+'Pricing sheet'!B263</f>
        <v>0</v>
      </c>
      <c r="C253" s="75">
        <f>+'Pricing sheet'!C263</f>
        <v>0</v>
      </c>
      <c r="D253" s="75">
        <f>+'Pricing sheet'!D263</f>
        <v>0</v>
      </c>
      <c r="E253" s="75">
        <f>+'Pricing sheet'!E263</f>
        <v>0</v>
      </c>
      <c r="F253" s="126">
        <f>+'Pricing sheet'!M263</f>
        <v>0</v>
      </c>
      <c r="G253" s="126">
        <f>+'Pricing sheet'!N263</f>
        <v>0</v>
      </c>
      <c r="H253" s="126">
        <f>+'Pricing sheet'!O263</f>
        <v>0</v>
      </c>
    </row>
    <row r="254" spans="1:8" x14ac:dyDescent="0.25">
      <c r="A254" s="1">
        <f>+'Pricing sheet'!A264</f>
        <v>0</v>
      </c>
      <c r="B254" s="75">
        <f>+'Pricing sheet'!B264</f>
        <v>0</v>
      </c>
      <c r="C254" s="75">
        <f>+'Pricing sheet'!C264</f>
        <v>0</v>
      </c>
      <c r="D254" s="75">
        <f>+'Pricing sheet'!D264</f>
        <v>0</v>
      </c>
      <c r="E254" s="75">
        <f>+'Pricing sheet'!E264</f>
        <v>0</v>
      </c>
      <c r="F254" s="126">
        <f>+'Pricing sheet'!M264</f>
        <v>0</v>
      </c>
      <c r="G254" s="126">
        <f>+'Pricing sheet'!N264</f>
        <v>0</v>
      </c>
      <c r="H254" s="126">
        <f>+'Pricing sheet'!O264</f>
        <v>0</v>
      </c>
    </row>
    <row r="255" spans="1:8" x14ac:dyDescent="0.25">
      <c r="A255" s="1">
        <f>+'Pricing sheet'!A265</f>
        <v>0</v>
      </c>
      <c r="B255" s="75">
        <f>+'Pricing sheet'!B265</f>
        <v>0</v>
      </c>
      <c r="C255" s="75">
        <f>+'Pricing sheet'!C265</f>
        <v>0</v>
      </c>
      <c r="D255" s="75">
        <f>+'Pricing sheet'!D265</f>
        <v>0</v>
      </c>
      <c r="E255" s="75">
        <f>+'Pricing sheet'!E265</f>
        <v>0</v>
      </c>
      <c r="F255" s="126">
        <f>+'Pricing sheet'!M265</f>
        <v>0</v>
      </c>
      <c r="G255" s="126">
        <f>+'Pricing sheet'!N265</f>
        <v>0</v>
      </c>
      <c r="H255" s="126">
        <f>+'Pricing sheet'!O265</f>
        <v>0</v>
      </c>
    </row>
    <row r="256" spans="1:8" x14ac:dyDescent="0.25">
      <c r="A256" s="1">
        <f>+'Pricing sheet'!A266</f>
        <v>0</v>
      </c>
      <c r="B256" s="75">
        <f>+'Pricing sheet'!B266</f>
        <v>0</v>
      </c>
      <c r="C256" s="75">
        <f>+'Pricing sheet'!C266</f>
        <v>0</v>
      </c>
      <c r="D256" s="75">
        <f>+'Pricing sheet'!D266</f>
        <v>0</v>
      </c>
      <c r="E256" s="75">
        <f>+'Pricing sheet'!E266</f>
        <v>0</v>
      </c>
      <c r="F256" s="126">
        <f>+'Pricing sheet'!M266</f>
        <v>0</v>
      </c>
      <c r="G256" s="126">
        <f>+'Pricing sheet'!N266</f>
        <v>0</v>
      </c>
      <c r="H256" s="126">
        <f>+'Pricing sheet'!O266</f>
        <v>0</v>
      </c>
    </row>
    <row r="257" spans="1:8" x14ac:dyDescent="0.25">
      <c r="A257" s="1">
        <f>+'Pricing sheet'!A267</f>
        <v>0</v>
      </c>
      <c r="B257" s="75">
        <f>+'Pricing sheet'!B267</f>
        <v>0</v>
      </c>
      <c r="C257" s="75">
        <f>+'Pricing sheet'!C267</f>
        <v>0</v>
      </c>
      <c r="D257" s="75">
        <f>+'Pricing sheet'!D267</f>
        <v>0</v>
      </c>
      <c r="E257" s="75">
        <f>+'Pricing sheet'!E267</f>
        <v>0</v>
      </c>
      <c r="F257" s="126">
        <f>+'Pricing sheet'!M267</f>
        <v>0</v>
      </c>
      <c r="G257" s="126">
        <f>+'Pricing sheet'!N267</f>
        <v>0</v>
      </c>
      <c r="H257" s="126">
        <f>+'Pricing sheet'!O267</f>
        <v>0</v>
      </c>
    </row>
    <row r="258" spans="1:8" x14ac:dyDescent="0.25">
      <c r="A258" s="1">
        <f>+'Pricing sheet'!A268</f>
        <v>0</v>
      </c>
      <c r="B258" s="75">
        <f>+'Pricing sheet'!B268</f>
        <v>0</v>
      </c>
      <c r="C258" s="75">
        <f>+'Pricing sheet'!C268</f>
        <v>0</v>
      </c>
      <c r="D258" s="75">
        <f>+'Pricing sheet'!D268</f>
        <v>0</v>
      </c>
      <c r="E258" s="75">
        <f>+'Pricing sheet'!E268</f>
        <v>0</v>
      </c>
      <c r="F258" s="126">
        <f>+'Pricing sheet'!M268</f>
        <v>0</v>
      </c>
      <c r="G258" s="126">
        <f>+'Pricing sheet'!N268</f>
        <v>0</v>
      </c>
      <c r="H258" s="126">
        <f>+'Pricing sheet'!O268</f>
        <v>0</v>
      </c>
    </row>
    <row r="259" spans="1:8" x14ac:dyDescent="0.25">
      <c r="A259" s="1">
        <f>+'Pricing sheet'!A269</f>
        <v>0</v>
      </c>
      <c r="B259" s="75">
        <f>+'Pricing sheet'!B269</f>
        <v>0</v>
      </c>
      <c r="C259" s="75">
        <f>+'Pricing sheet'!C269</f>
        <v>0</v>
      </c>
      <c r="D259" s="75">
        <f>+'Pricing sheet'!D269</f>
        <v>0</v>
      </c>
      <c r="E259" s="75">
        <f>+'Pricing sheet'!E269</f>
        <v>0</v>
      </c>
      <c r="F259" s="126">
        <f>+'Pricing sheet'!M269</f>
        <v>0</v>
      </c>
      <c r="G259" s="126">
        <f>+'Pricing sheet'!N269</f>
        <v>0</v>
      </c>
      <c r="H259" s="126">
        <f>+'Pricing sheet'!O269</f>
        <v>0</v>
      </c>
    </row>
    <row r="260" spans="1:8" x14ac:dyDescent="0.25">
      <c r="A260" s="1">
        <f>+'Pricing sheet'!A270</f>
        <v>0</v>
      </c>
      <c r="B260" s="75">
        <f>+'Pricing sheet'!B270</f>
        <v>0</v>
      </c>
      <c r="C260" s="75">
        <f>+'Pricing sheet'!C270</f>
        <v>0</v>
      </c>
      <c r="D260" s="75">
        <f>+'Pricing sheet'!D270</f>
        <v>0</v>
      </c>
      <c r="E260" s="75">
        <f>+'Pricing sheet'!E270</f>
        <v>0</v>
      </c>
      <c r="F260" s="126">
        <f>+'Pricing sheet'!M270</f>
        <v>0</v>
      </c>
      <c r="G260" s="126">
        <f>+'Pricing sheet'!N270</f>
        <v>0</v>
      </c>
      <c r="H260" s="126">
        <f>+'Pricing sheet'!O270</f>
        <v>0</v>
      </c>
    </row>
    <row r="261" spans="1:8" x14ac:dyDescent="0.25">
      <c r="A261" s="1">
        <f>+'Pricing sheet'!A271</f>
        <v>0</v>
      </c>
      <c r="B261" s="75">
        <f>+'Pricing sheet'!B271</f>
        <v>0</v>
      </c>
      <c r="C261" s="75">
        <f>+'Pricing sheet'!C271</f>
        <v>0</v>
      </c>
      <c r="D261" s="75">
        <f>+'Pricing sheet'!D271</f>
        <v>0</v>
      </c>
      <c r="E261" s="75">
        <f>+'Pricing sheet'!E271</f>
        <v>0</v>
      </c>
      <c r="F261" s="126">
        <f>+'Pricing sheet'!M271</f>
        <v>0</v>
      </c>
      <c r="G261" s="126">
        <f>+'Pricing sheet'!N271</f>
        <v>0</v>
      </c>
      <c r="H261" s="126">
        <f>+'Pricing sheet'!O271</f>
        <v>0</v>
      </c>
    </row>
    <row r="262" spans="1:8" x14ac:dyDescent="0.25">
      <c r="A262" s="1">
        <f>+'Pricing sheet'!A272</f>
        <v>0</v>
      </c>
      <c r="B262" s="75">
        <f>+'Pricing sheet'!B272</f>
        <v>0</v>
      </c>
      <c r="C262" s="75">
        <f>+'Pricing sheet'!C272</f>
        <v>0</v>
      </c>
      <c r="D262" s="75">
        <f>+'Pricing sheet'!D272</f>
        <v>0</v>
      </c>
      <c r="E262" s="75">
        <f>+'Pricing sheet'!E272</f>
        <v>0</v>
      </c>
      <c r="F262" s="126">
        <f>+'Pricing sheet'!M272</f>
        <v>0</v>
      </c>
      <c r="G262" s="126">
        <f>+'Pricing sheet'!N272</f>
        <v>0</v>
      </c>
      <c r="H262" s="126">
        <f>+'Pricing sheet'!O272</f>
        <v>0</v>
      </c>
    </row>
    <row r="263" spans="1:8" x14ac:dyDescent="0.25">
      <c r="A263" s="1">
        <f>+'Pricing sheet'!A273</f>
        <v>0</v>
      </c>
      <c r="B263" s="75">
        <f>+'Pricing sheet'!B273</f>
        <v>0</v>
      </c>
      <c r="C263" s="75">
        <f>+'Pricing sheet'!C273</f>
        <v>0</v>
      </c>
      <c r="D263" s="75">
        <f>+'Pricing sheet'!D273</f>
        <v>0</v>
      </c>
      <c r="E263" s="75">
        <f>+'Pricing sheet'!E273</f>
        <v>0</v>
      </c>
      <c r="F263" s="126">
        <f>+'Pricing sheet'!M273</f>
        <v>0</v>
      </c>
      <c r="G263" s="126">
        <f>+'Pricing sheet'!N273</f>
        <v>0</v>
      </c>
      <c r="H263" s="126">
        <f>+'Pricing sheet'!O273</f>
        <v>0</v>
      </c>
    </row>
    <row r="264" spans="1:8" x14ac:dyDescent="0.25">
      <c r="A264" s="1">
        <f>+'Pricing sheet'!A274</f>
        <v>0</v>
      </c>
      <c r="B264" s="75">
        <f>+'Pricing sheet'!B274</f>
        <v>0</v>
      </c>
      <c r="C264" s="75">
        <f>+'Pricing sheet'!C274</f>
        <v>0</v>
      </c>
      <c r="D264" s="75">
        <f>+'Pricing sheet'!D274</f>
        <v>0</v>
      </c>
      <c r="E264" s="75">
        <f>+'Pricing sheet'!E274</f>
        <v>0</v>
      </c>
      <c r="F264" s="126">
        <f>+'Pricing sheet'!M274</f>
        <v>0</v>
      </c>
      <c r="G264" s="126">
        <f>+'Pricing sheet'!N274</f>
        <v>0</v>
      </c>
      <c r="H264" s="126">
        <f>+'Pricing sheet'!O274</f>
        <v>0</v>
      </c>
    </row>
    <row r="265" spans="1:8" x14ac:dyDescent="0.25">
      <c r="A265" s="1">
        <f>+'Pricing sheet'!A275</f>
        <v>0</v>
      </c>
      <c r="B265" s="75">
        <f>+'Pricing sheet'!B275</f>
        <v>0</v>
      </c>
      <c r="C265" s="75">
        <f>+'Pricing sheet'!C275</f>
        <v>0</v>
      </c>
      <c r="D265" s="75">
        <f>+'Pricing sheet'!D275</f>
        <v>0</v>
      </c>
      <c r="E265" s="75">
        <f>+'Pricing sheet'!E275</f>
        <v>0</v>
      </c>
      <c r="F265" s="126">
        <f>+'Pricing sheet'!M275</f>
        <v>0</v>
      </c>
      <c r="G265" s="126">
        <f>+'Pricing sheet'!N275</f>
        <v>0</v>
      </c>
      <c r="H265" s="126">
        <f>+'Pricing sheet'!O275</f>
        <v>0</v>
      </c>
    </row>
    <row r="266" spans="1:8" x14ac:dyDescent="0.25">
      <c r="A266" s="1">
        <f>+'Pricing sheet'!A276</f>
        <v>0</v>
      </c>
      <c r="B266" s="75">
        <f>+'Pricing sheet'!B276</f>
        <v>0</v>
      </c>
      <c r="C266" s="75">
        <f>+'Pricing sheet'!C276</f>
        <v>0</v>
      </c>
      <c r="D266" s="75">
        <f>+'Pricing sheet'!D276</f>
        <v>0</v>
      </c>
      <c r="E266" s="75">
        <f>+'Pricing sheet'!E276</f>
        <v>0</v>
      </c>
      <c r="F266" s="126">
        <f>+'Pricing sheet'!M276</f>
        <v>0</v>
      </c>
      <c r="G266" s="126">
        <f>+'Pricing sheet'!N276</f>
        <v>0</v>
      </c>
      <c r="H266" s="126">
        <f>+'Pricing sheet'!O276</f>
        <v>0</v>
      </c>
    </row>
    <row r="267" spans="1:8" x14ac:dyDescent="0.25">
      <c r="A267" s="1">
        <f>+'Pricing sheet'!A277</f>
        <v>0</v>
      </c>
      <c r="B267" s="75">
        <f>+'Pricing sheet'!B277</f>
        <v>0</v>
      </c>
      <c r="C267" s="75">
        <f>+'Pricing sheet'!C277</f>
        <v>0</v>
      </c>
      <c r="D267" s="75">
        <f>+'Pricing sheet'!D277</f>
        <v>0</v>
      </c>
      <c r="E267" s="75">
        <f>+'Pricing sheet'!E277</f>
        <v>0</v>
      </c>
      <c r="F267" s="126">
        <f>+'Pricing sheet'!M277</f>
        <v>0</v>
      </c>
      <c r="G267" s="126">
        <f>+'Pricing sheet'!N277</f>
        <v>0</v>
      </c>
      <c r="H267" s="126">
        <f>+'Pricing sheet'!O277</f>
        <v>0</v>
      </c>
    </row>
    <row r="268" spans="1:8" x14ac:dyDescent="0.25">
      <c r="A268" s="1">
        <f>+'Pricing sheet'!A278</f>
        <v>0</v>
      </c>
      <c r="B268" s="75">
        <f>+'Pricing sheet'!B278</f>
        <v>0</v>
      </c>
      <c r="C268" s="75">
        <f>+'Pricing sheet'!C278</f>
        <v>0</v>
      </c>
      <c r="D268" s="75">
        <f>+'Pricing sheet'!D278</f>
        <v>0</v>
      </c>
      <c r="E268" s="75">
        <f>+'Pricing sheet'!E278</f>
        <v>0</v>
      </c>
      <c r="F268" s="126">
        <f>+'Pricing sheet'!M278</f>
        <v>0</v>
      </c>
      <c r="G268" s="126">
        <f>+'Pricing sheet'!N278</f>
        <v>0</v>
      </c>
      <c r="H268" s="126">
        <f>+'Pricing sheet'!O278</f>
        <v>0</v>
      </c>
    </row>
    <row r="269" spans="1:8" x14ac:dyDescent="0.25">
      <c r="A269" s="1">
        <f>+'Pricing sheet'!A279</f>
        <v>0</v>
      </c>
      <c r="B269" s="75">
        <f>+'Pricing sheet'!B279</f>
        <v>0</v>
      </c>
      <c r="C269" s="75">
        <f>+'Pricing sheet'!C279</f>
        <v>0</v>
      </c>
      <c r="D269" s="75">
        <f>+'Pricing sheet'!D279</f>
        <v>0</v>
      </c>
      <c r="E269" s="75">
        <f>+'Pricing sheet'!E279</f>
        <v>0</v>
      </c>
      <c r="F269" s="126">
        <f>+'Pricing sheet'!M279</f>
        <v>0</v>
      </c>
      <c r="G269" s="126">
        <f>+'Pricing sheet'!N279</f>
        <v>0</v>
      </c>
      <c r="H269" s="126">
        <f>+'Pricing sheet'!O279</f>
        <v>0</v>
      </c>
    </row>
    <row r="270" spans="1:8" x14ac:dyDescent="0.25">
      <c r="A270" s="1">
        <f>+'Pricing sheet'!A280</f>
        <v>0</v>
      </c>
      <c r="B270" s="75">
        <f>+'Pricing sheet'!B280</f>
        <v>0</v>
      </c>
      <c r="C270" s="75">
        <f>+'Pricing sheet'!C280</f>
        <v>0</v>
      </c>
      <c r="D270" s="75">
        <f>+'Pricing sheet'!D280</f>
        <v>0</v>
      </c>
      <c r="E270" s="75">
        <f>+'Pricing sheet'!E280</f>
        <v>0</v>
      </c>
      <c r="F270" s="126">
        <f>+'Pricing sheet'!M280</f>
        <v>0</v>
      </c>
      <c r="G270" s="126">
        <f>+'Pricing sheet'!N280</f>
        <v>0</v>
      </c>
      <c r="H270" s="126">
        <f>+'Pricing sheet'!O280</f>
        <v>0</v>
      </c>
    </row>
    <row r="271" spans="1:8" x14ac:dyDescent="0.25">
      <c r="A271" s="1">
        <f>+'Pricing sheet'!A281</f>
        <v>0</v>
      </c>
      <c r="B271" s="75">
        <f>+'Pricing sheet'!B281</f>
        <v>0</v>
      </c>
      <c r="C271" s="75">
        <f>+'Pricing sheet'!C281</f>
        <v>0</v>
      </c>
      <c r="D271" s="75">
        <f>+'Pricing sheet'!D281</f>
        <v>0</v>
      </c>
      <c r="E271" s="75">
        <f>+'Pricing sheet'!E281</f>
        <v>0</v>
      </c>
      <c r="F271" s="126">
        <f>+'Pricing sheet'!M281</f>
        <v>0</v>
      </c>
      <c r="G271" s="126">
        <f>+'Pricing sheet'!N281</f>
        <v>0</v>
      </c>
      <c r="H271" s="126">
        <f>+'Pricing sheet'!O281</f>
        <v>0</v>
      </c>
    </row>
    <row r="272" spans="1:8" x14ac:dyDescent="0.25">
      <c r="A272" s="1">
        <f>+'Pricing sheet'!A282</f>
        <v>0</v>
      </c>
      <c r="B272" s="75">
        <f>+'Pricing sheet'!B282</f>
        <v>0</v>
      </c>
      <c r="C272" s="75">
        <f>+'Pricing sheet'!C282</f>
        <v>0</v>
      </c>
      <c r="D272" s="75">
        <f>+'Pricing sheet'!D282</f>
        <v>0</v>
      </c>
      <c r="E272" s="75">
        <f>+'Pricing sheet'!E282</f>
        <v>0</v>
      </c>
      <c r="F272" s="126">
        <f>+'Pricing sheet'!M282</f>
        <v>0</v>
      </c>
      <c r="G272" s="126">
        <f>+'Pricing sheet'!N282</f>
        <v>0</v>
      </c>
      <c r="H272" s="126">
        <f>+'Pricing sheet'!O282</f>
        <v>0</v>
      </c>
    </row>
    <row r="273" spans="1:8" x14ac:dyDescent="0.25">
      <c r="A273" s="1">
        <f>+'Pricing sheet'!A283</f>
        <v>0</v>
      </c>
      <c r="B273" s="75">
        <f>+'Pricing sheet'!B283</f>
        <v>0</v>
      </c>
      <c r="C273" s="75">
        <f>+'Pricing sheet'!C283</f>
        <v>0</v>
      </c>
      <c r="D273" s="75">
        <f>+'Pricing sheet'!D283</f>
        <v>0</v>
      </c>
      <c r="E273" s="75">
        <f>+'Pricing sheet'!E283</f>
        <v>0</v>
      </c>
      <c r="F273" s="126">
        <f>+'Pricing sheet'!M283</f>
        <v>0</v>
      </c>
      <c r="G273" s="126">
        <f>+'Pricing sheet'!N283</f>
        <v>0</v>
      </c>
      <c r="H273" s="126">
        <f>+'Pricing sheet'!O283</f>
        <v>0</v>
      </c>
    </row>
    <row r="274" spans="1:8" x14ac:dyDescent="0.25">
      <c r="A274" s="1">
        <f>+'Pricing sheet'!A284</f>
        <v>0</v>
      </c>
      <c r="B274" s="75">
        <f>+'Pricing sheet'!B284</f>
        <v>0</v>
      </c>
      <c r="C274" s="75">
        <f>+'Pricing sheet'!C284</f>
        <v>0</v>
      </c>
      <c r="D274" s="75">
        <f>+'Pricing sheet'!D284</f>
        <v>0</v>
      </c>
      <c r="E274" s="75">
        <f>+'Pricing sheet'!E284</f>
        <v>0</v>
      </c>
      <c r="F274" s="126">
        <f>+'Pricing sheet'!M284</f>
        <v>0</v>
      </c>
      <c r="G274" s="126">
        <f>+'Pricing sheet'!N284</f>
        <v>0</v>
      </c>
      <c r="H274" s="126">
        <f>+'Pricing sheet'!O284</f>
        <v>0</v>
      </c>
    </row>
    <row r="275" spans="1:8" x14ac:dyDescent="0.25">
      <c r="A275" s="1">
        <f>+'Pricing sheet'!A285</f>
        <v>0</v>
      </c>
      <c r="B275" s="75">
        <f>+'Pricing sheet'!B285</f>
        <v>0</v>
      </c>
      <c r="C275" s="75">
        <f>+'Pricing sheet'!C285</f>
        <v>0</v>
      </c>
      <c r="D275" s="75">
        <f>+'Pricing sheet'!D285</f>
        <v>0</v>
      </c>
      <c r="E275" s="75">
        <f>+'Pricing sheet'!E285</f>
        <v>0</v>
      </c>
      <c r="F275" s="126">
        <f>+'Pricing sheet'!M285</f>
        <v>0</v>
      </c>
      <c r="G275" s="126">
        <f>+'Pricing sheet'!N285</f>
        <v>0</v>
      </c>
      <c r="H275" s="126">
        <f>+'Pricing sheet'!O285</f>
        <v>0</v>
      </c>
    </row>
    <row r="276" spans="1:8" x14ac:dyDescent="0.25">
      <c r="A276" s="1">
        <f>+'Pricing sheet'!A286</f>
        <v>0</v>
      </c>
      <c r="B276" s="75">
        <f>+'Pricing sheet'!B286</f>
        <v>0</v>
      </c>
      <c r="C276" s="75">
        <f>+'Pricing sheet'!C286</f>
        <v>0</v>
      </c>
      <c r="D276" s="75">
        <f>+'Pricing sheet'!D286</f>
        <v>0</v>
      </c>
      <c r="E276" s="75">
        <f>+'Pricing sheet'!E286</f>
        <v>0</v>
      </c>
      <c r="F276" s="126">
        <f>+'Pricing sheet'!M286</f>
        <v>0</v>
      </c>
      <c r="G276" s="126">
        <f>+'Pricing sheet'!N286</f>
        <v>0</v>
      </c>
      <c r="H276" s="126">
        <f>+'Pricing sheet'!O286</f>
        <v>0</v>
      </c>
    </row>
    <row r="277" spans="1:8" x14ac:dyDescent="0.25">
      <c r="A277" s="1">
        <f>+'Pricing sheet'!A287</f>
        <v>0</v>
      </c>
      <c r="B277" s="75">
        <f>+'Pricing sheet'!B287</f>
        <v>0</v>
      </c>
      <c r="C277" s="75">
        <f>+'Pricing sheet'!C287</f>
        <v>0</v>
      </c>
      <c r="D277" s="75">
        <f>+'Pricing sheet'!D287</f>
        <v>0</v>
      </c>
      <c r="E277" s="75">
        <f>+'Pricing sheet'!E287</f>
        <v>0</v>
      </c>
      <c r="F277" s="126">
        <f>+'Pricing sheet'!M287</f>
        <v>0</v>
      </c>
      <c r="G277" s="126">
        <f>+'Pricing sheet'!N287</f>
        <v>0</v>
      </c>
      <c r="H277" s="126">
        <f>+'Pricing sheet'!O287</f>
        <v>0</v>
      </c>
    </row>
    <row r="278" spans="1:8" x14ac:dyDescent="0.25">
      <c r="A278" s="1">
        <f>+'Pricing sheet'!A288</f>
        <v>0</v>
      </c>
      <c r="B278" s="75">
        <f>+'Pricing sheet'!B288</f>
        <v>0</v>
      </c>
      <c r="C278" s="75">
        <f>+'Pricing sheet'!C288</f>
        <v>0</v>
      </c>
      <c r="D278" s="75">
        <f>+'Pricing sheet'!D288</f>
        <v>0</v>
      </c>
      <c r="E278" s="75">
        <f>+'Pricing sheet'!E288</f>
        <v>0</v>
      </c>
      <c r="F278" s="126">
        <f>+'Pricing sheet'!M288</f>
        <v>0</v>
      </c>
      <c r="G278" s="126">
        <f>+'Pricing sheet'!N288</f>
        <v>0</v>
      </c>
      <c r="H278" s="126">
        <f>+'Pricing sheet'!O288</f>
        <v>0</v>
      </c>
    </row>
    <row r="279" spans="1:8" x14ac:dyDescent="0.25">
      <c r="A279" s="1">
        <f>+'Pricing sheet'!A289</f>
        <v>0</v>
      </c>
      <c r="B279" s="75">
        <f>+'Pricing sheet'!B289</f>
        <v>0</v>
      </c>
      <c r="C279" s="75">
        <f>+'Pricing sheet'!C289</f>
        <v>0</v>
      </c>
      <c r="D279" s="75">
        <f>+'Pricing sheet'!D289</f>
        <v>0</v>
      </c>
      <c r="E279" s="75">
        <f>+'Pricing sheet'!E289</f>
        <v>0</v>
      </c>
      <c r="F279" s="126">
        <f>+'Pricing sheet'!M289</f>
        <v>0</v>
      </c>
      <c r="G279" s="126">
        <f>+'Pricing sheet'!N289</f>
        <v>0</v>
      </c>
      <c r="H279" s="126">
        <f>+'Pricing sheet'!O289</f>
        <v>0</v>
      </c>
    </row>
    <row r="280" spans="1:8" x14ac:dyDescent="0.25">
      <c r="A280" s="1">
        <f>+'Pricing sheet'!A290</f>
        <v>0</v>
      </c>
      <c r="B280" s="75">
        <f>+'Pricing sheet'!B290</f>
        <v>0</v>
      </c>
      <c r="C280" s="75">
        <f>+'Pricing sheet'!C290</f>
        <v>0</v>
      </c>
      <c r="D280" s="75">
        <f>+'Pricing sheet'!D290</f>
        <v>0</v>
      </c>
      <c r="E280" s="75">
        <f>+'Pricing sheet'!E290</f>
        <v>0</v>
      </c>
      <c r="F280" s="126">
        <f>+'Pricing sheet'!M290</f>
        <v>0</v>
      </c>
      <c r="G280" s="126">
        <f>+'Pricing sheet'!N290</f>
        <v>0</v>
      </c>
      <c r="H280" s="126">
        <f>+'Pricing sheet'!O290</f>
        <v>0</v>
      </c>
    </row>
    <row r="281" spans="1:8" x14ac:dyDescent="0.25">
      <c r="A281" s="1">
        <f>+'Pricing sheet'!A291</f>
        <v>0</v>
      </c>
      <c r="B281" s="75">
        <f>+'Pricing sheet'!B291</f>
        <v>0</v>
      </c>
      <c r="C281" s="75">
        <f>+'Pricing sheet'!C291</f>
        <v>0</v>
      </c>
      <c r="D281" s="75">
        <f>+'Pricing sheet'!D291</f>
        <v>0</v>
      </c>
      <c r="E281" s="75">
        <f>+'Pricing sheet'!E291</f>
        <v>0</v>
      </c>
      <c r="F281" s="126">
        <f>+'Pricing sheet'!M291</f>
        <v>0</v>
      </c>
      <c r="G281" s="126">
        <f>+'Pricing sheet'!N291</f>
        <v>0</v>
      </c>
      <c r="H281" s="126">
        <f>+'Pricing sheet'!O291</f>
        <v>0</v>
      </c>
    </row>
    <row r="282" spans="1:8" x14ac:dyDescent="0.25">
      <c r="A282" s="1">
        <f>+'Pricing sheet'!A292</f>
        <v>0</v>
      </c>
      <c r="B282" s="75">
        <f>+'Pricing sheet'!B292</f>
        <v>0</v>
      </c>
      <c r="C282" s="75">
        <f>+'Pricing sheet'!C292</f>
        <v>0</v>
      </c>
      <c r="D282" s="75">
        <f>+'Pricing sheet'!D292</f>
        <v>0</v>
      </c>
      <c r="E282" s="75">
        <f>+'Pricing sheet'!E292</f>
        <v>0</v>
      </c>
      <c r="F282" s="126">
        <f>+'Pricing sheet'!M292</f>
        <v>0</v>
      </c>
      <c r="G282" s="126">
        <f>+'Pricing sheet'!N292</f>
        <v>0</v>
      </c>
      <c r="H282" s="126">
        <f>+'Pricing sheet'!O292</f>
        <v>0</v>
      </c>
    </row>
    <row r="283" spans="1:8" x14ac:dyDescent="0.25">
      <c r="A283" s="1">
        <f>+'Pricing sheet'!A293</f>
        <v>0</v>
      </c>
      <c r="B283" s="75">
        <f>+'Pricing sheet'!B293</f>
        <v>0</v>
      </c>
      <c r="C283" s="75">
        <f>+'Pricing sheet'!C293</f>
        <v>0</v>
      </c>
      <c r="D283" s="75">
        <f>+'Pricing sheet'!D293</f>
        <v>0</v>
      </c>
      <c r="E283" s="75">
        <f>+'Pricing sheet'!E293</f>
        <v>0</v>
      </c>
      <c r="F283" s="126">
        <f>+'Pricing sheet'!M293</f>
        <v>0</v>
      </c>
      <c r="G283" s="126">
        <f>+'Pricing sheet'!N293</f>
        <v>0</v>
      </c>
      <c r="H283" s="126">
        <f>+'Pricing sheet'!O293</f>
        <v>0</v>
      </c>
    </row>
    <row r="284" spans="1:8" x14ac:dyDescent="0.25">
      <c r="A284" s="1">
        <f>+'Pricing sheet'!A294</f>
        <v>0</v>
      </c>
      <c r="B284" s="75">
        <f>+'Pricing sheet'!B294</f>
        <v>0</v>
      </c>
      <c r="C284" s="75">
        <f>+'Pricing sheet'!C294</f>
        <v>0</v>
      </c>
      <c r="D284" s="75">
        <f>+'Pricing sheet'!D294</f>
        <v>0</v>
      </c>
      <c r="E284" s="75">
        <f>+'Pricing sheet'!E294</f>
        <v>0</v>
      </c>
      <c r="F284" s="126">
        <f>+'Pricing sheet'!M294</f>
        <v>0</v>
      </c>
      <c r="G284" s="126">
        <f>+'Pricing sheet'!N294</f>
        <v>0</v>
      </c>
      <c r="H284" s="126">
        <f>+'Pricing sheet'!O294</f>
        <v>0</v>
      </c>
    </row>
    <row r="285" spans="1:8" x14ac:dyDescent="0.25">
      <c r="A285" s="1">
        <f>+'Pricing sheet'!A295</f>
        <v>0</v>
      </c>
      <c r="B285" s="75">
        <f>+'Pricing sheet'!B295</f>
        <v>0</v>
      </c>
      <c r="C285" s="75">
        <f>+'Pricing sheet'!C295</f>
        <v>0</v>
      </c>
      <c r="D285" s="75">
        <f>+'Pricing sheet'!D295</f>
        <v>0</v>
      </c>
      <c r="E285" s="75">
        <f>+'Pricing sheet'!E295</f>
        <v>0</v>
      </c>
      <c r="F285" s="126">
        <f>+'Pricing sheet'!M295</f>
        <v>0</v>
      </c>
      <c r="G285" s="126">
        <f>+'Pricing sheet'!N295</f>
        <v>0</v>
      </c>
      <c r="H285" s="126">
        <f>+'Pricing sheet'!O295</f>
        <v>0</v>
      </c>
    </row>
    <row r="286" spans="1:8" x14ac:dyDescent="0.25">
      <c r="A286" s="1">
        <f>+'Pricing sheet'!A296</f>
        <v>0</v>
      </c>
      <c r="B286" s="75">
        <f>+'Pricing sheet'!B296</f>
        <v>0</v>
      </c>
      <c r="C286" s="75">
        <f>+'Pricing sheet'!C296</f>
        <v>0</v>
      </c>
      <c r="D286" s="75">
        <f>+'Pricing sheet'!D296</f>
        <v>0</v>
      </c>
      <c r="E286" s="75">
        <f>+'Pricing sheet'!E296</f>
        <v>0</v>
      </c>
      <c r="F286" s="126">
        <f>+'Pricing sheet'!M296</f>
        <v>0</v>
      </c>
      <c r="G286" s="126">
        <f>+'Pricing sheet'!N296</f>
        <v>0</v>
      </c>
      <c r="H286" s="126">
        <f>+'Pricing sheet'!O296</f>
        <v>0</v>
      </c>
    </row>
    <row r="287" spans="1:8" x14ac:dyDescent="0.25">
      <c r="A287" s="1">
        <f>+'Pricing sheet'!A297</f>
        <v>0</v>
      </c>
      <c r="B287" s="75">
        <f>+'Pricing sheet'!B297</f>
        <v>0</v>
      </c>
      <c r="C287" s="75">
        <f>+'Pricing sheet'!C297</f>
        <v>0</v>
      </c>
      <c r="D287" s="75">
        <f>+'Pricing sheet'!D297</f>
        <v>0</v>
      </c>
      <c r="E287" s="75">
        <f>+'Pricing sheet'!E297</f>
        <v>0</v>
      </c>
      <c r="F287" s="126">
        <f>+'Pricing sheet'!M297</f>
        <v>0</v>
      </c>
      <c r="G287" s="126">
        <f>+'Pricing sheet'!N297</f>
        <v>0</v>
      </c>
      <c r="H287" s="126">
        <f>+'Pricing sheet'!O297</f>
        <v>0</v>
      </c>
    </row>
    <row r="288" spans="1:8" x14ac:dyDescent="0.25">
      <c r="A288" s="1">
        <f>+'Pricing sheet'!A298</f>
        <v>0</v>
      </c>
      <c r="B288" s="75">
        <f>+'Pricing sheet'!B298</f>
        <v>0</v>
      </c>
      <c r="C288" s="75">
        <f>+'Pricing sheet'!C298</f>
        <v>0</v>
      </c>
      <c r="D288" s="75">
        <f>+'Pricing sheet'!D298</f>
        <v>0</v>
      </c>
      <c r="E288" s="75">
        <f>+'Pricing sheet'!E298</f>
        <v>0</v>
      </c>
      <c r="F288" s="126">
        <f>+'Pricing sheet'!M298</f>
        <v>0</v>
      </c>
      <c r="G288" s="126">
        <f>+'Pricing sheet'!N298</f>
        <v>0</v>
      </c>
      <c r="H288" s="126">
        <f>+'Pricing sheet'!O298</f>
        <v>0</v>
      </c>
    </row>
    <row r="289" spans="1:8" x14ac:dyDescent="0.25">
      <c r="A289" s="1">
        <f>+'Pricing sheet'!A299</f>
        <v>0</v>
      </c>
      <c r="B289" s="75">
        <f>+'Pricing sheet'!B299</f>
        <v>0</v>
      </c>
      <c r="C289" s="75">
        <f>+'Pricing sheet'!C299</f>
        <v>0</v>
      </c>
      <c r="D289" s="75">
        <f>+'Pricing sheet'!D299</f>
        <v>0</v>
      </c>
      <c r="E289" s="75">
        <f>+'Pricing sheet'!E299</f>
        <v>0</v>
      </c>
      <c r="F289" s="126">
        <f>+'Pricing sheet'!M299</f>
        <v>0</v>
      </c>
      <c r="G289" s="126">
        <f>+'Pricing sheet'!N299</f>
        <v>0</v>
      </c>
      <c r="H289" s="126">
        <f>+'Pricing sheet'!O299</f>
        <v>0</v>
      </c>
    </row>
    <row r="290" spans="1:8" x14ac:dyDescent="0.25">
      <c r="A290" s="1">
        <f>+'Pricing sheet'!A300</f>
        <v>0</v>
      </c>
      <c r="B290" s="75">
        <f>+'Pricing sheet'!B300</f>
        <v>0</v>
      </c>
      <c r="C290" s="75">
        <f>+'Pricing sheet'!C300</f>
        <v>0</v>
      </c>
      <c r="D290" s="75">
        <f>+'Pricing sheet'!D300</f>
        <v>0</v>
      </c>
      <c r="E290" s="75">
        <f>+'Pricing sheet'!E300</f>
        <v>0</v>
      </c>
      <c r="F290" s="126">
        <f>+'Pricing sheet'!M300</f>
        <v>0</v>
      </c>
      <c r="G290" s="126">
        <f>+'Pricing sheet'!N300</f>
        <v>0</v>
      </c>
      <c r="H290" s="126">
        <f>+'Pricing sheet'!O300</f>
        <v>0</v>
      </c>
    </row>
    <row r="291" spans="1:8" x14ac:dyDescent="0.25">
      <c r="A291" s="1">
        <f>+'Pricing sheet'!A301</f>
        <v>0</v>
      </c>
      <c r="B291" s="75">
        <f>+'Pricing sheet'!B301</f>
        <v>0</v>
      </c>
      <c r="C291" s="75">
        <f>+'Pricing sheet'!C301</f>
        <v>0</v>
      </c>
      <c r="D291" s="75">
        <f>+'Pricing sheet'!D301</f>
        <v>0</v>
      </c>
      <c r="E291" s="75">
        <f>+'Pricing sheet'!E301</f>
        <v>0</v>
      </c>
      <c r="F291" s="126">
        <f>+'Pricing sheet'!M301</f>
        <v>0</v>
      </c>
      <c r="G291" s="126">
        <f>+'Pricing sheet'!N301</f>
        <v>0</v>
      </c>
      <c r="H291" s="126">
        <f>+'Pricing sheet'!O301</f>
        <v>0</v>
      </c>
    </row>
    <row r="292" spans="1:8" x14ac:dyDescent="0.25">
      <c r="A292" s="1">
        <f>+'Pricing sheet'!A302</f>
        <v>0</v>
      </c>
      <c r="B292" s="75">
        <f>+'Pricing sheet'!B302</f>
        <v>0</v>
      </c>
      <c r="C292" s="75">
        <f>+'Pricing sheet'!C302</f>
        <v>0</v>
      </c>
      <c r="D292" s="75">
        <f>+'Pricing sheet'!D302</f>
        <v>0</v>
      </c>
      <c r="E292" s="75">
        <f>+'Pricing sheet'!E302</f>
        <v>0</v>
      </c>
      <c r="F292" s="126">
        <f>+'Pricing sheet'!M302</f>
        <v>0</v>
      </c>
      <c r="G292" s="126">
        <f>+'Pricing sheet'!N302</f>
        <v>0</v>
      </c>
      <c r="H292" s="126">
        <f>+'Pricing sheet'!O302</f>
        <v>0</v>
      </c>
    </row>
    <row r="293" spans="1:8" x14ac:dyDescent="0.25">
      <c r="A293" s="1">
        <f>+'Pricing sheet'!A303</f>
        <v>0</v>
      </c>
      <c r="B293" s="75">
        <f>+'Pricing sheet'!B303</f>
        <v>0</v>
      </c>
      <c r="C293" s="75">
        <f>+'Pricing sheet'!C303</f>
        <v>0</v>
      </c>
      <c r="D293" s="75">
        <f>+'Pricing sheet'!D303</f>
        <v>0</v>
      </c>
      <c r="E293" s="75">
        <f>+'Pricing sheet'!E303</f>
        <v>0</v>
      </c>
      <c r="F293" s="126">
        <f>+'Pricing sheet'!M303</f>
        <v>0</v>
      </c>
      <c r="G293" s="126">
        <f>+'Pricing sheet'!N303</f>
        <v>0</v>
      </c>
      <c r="H293" s="126">
        <f>+'Pricing sheet'!O303</f>
        <v>0</v>
      </c>
    </row>
    <row r="294" spans="1:8" x14ac:dyDescent="0.25">
      <c r="A294" s="1">
        <f>+'Pricing sheet'!A304</f>
        <v>0</v>
      </c>
      <c r="B294" s="75">
        <f>+'Pricing sheet'!B304</f>
        <v>0</v>
      </c>
      <c r="C294" s="75">
        <f>+'Pricing sheet'!C304</f>
        <v>0</v>
      </c>
      <c r="D294" s="75">
        <f>+'Pricing sheet'!D304</f>
        <v>0</v>
      </c>
      <c r="E294" s="75">
        <f>+'Pricing sheet'!E304</f>
        <v>0</v>
      </c>
      <c r="F294" s="126">
        <f>+'Pricing sheet'!M304</f>
        <v>0</v>
      </c>
      <c r="G294" s="126">
        <f>+'Pricing sheet'!N304</f>
        <v>0</v>
      </c>
      <c r="H294" s="126">
        <f>+'Pricing sheet'!O304</f>
        <v>0</v>
      </c>
    </row>
    <row r="295" spans="1:8" x14ac:dyDescent="0.25">
      <c r="A295" s="1">
        <f>+'Pricing sheet'!A305</f>
        <v>0</v>
      </c>
      <c r="B295" s="75">
        <f>+'Pricing sheet'!B305</f>
        <v>0</v>
      </c>
      <c r="C295" s="75">
        <f>+'Pricing sheet'!C305</f>
        <v>0</v>
      </c>
      <c r="D295" s="75">
        <f>+'Pricing sheet'!D305</f>
        <v>0</v>
      </c>
      <c r="E295" s="75">
        <f>+'Pricing sheet'!E305</f>
        <v>0</v>
      </c>
      <c r="F295" s="126">
        <f>+'Pricing sheet'!M305</f>
        <v>0</v>
      </c>
      <c r="G295" s="126">
        <f>+'Pricing sheet'!N305</f>
        <v>0</v>
      </c>
      <c r="H295" s="126">
        <f>+'Pricing sheet'!O305</f>
        <v>0</v>
      </c>
    </row>
    <row r="296" spans="1:8" x14ac:dyDescent="0.25">
      <c r="A296" s="1">
        <f>+'Pricing sheet'!A306</f>
        <v>0</v>
      </c>
      <c r="B296" s="75">
        <f>+'Pricing sheet'!B306</f>
        <v>0</v>
      </c>
      <c r="C296" s="75">
        <f>+'Pricing sheet'!C306</f>
        <v>0</v>
      </c>
      <c r="D296" s="75">
        <f>+'Pricing sheet'!D306</f>
        <v>0</v>
      </c>
      <c r="E296" s="75">
        <f>+'Pricing sheet'!E306</f>
        <v>0</v>
      </c>
      <c r="F296" s="126">
        <f>+'Pricing sheet'!M306</f>
        <v>0</v>
      </c>
      <c r="G296" s="126">
        <f>+'Pricing sheet'!N306</f>
        <v>0</v>
      </c>
      <c r="H296" s="126">
        <f>+'Pricing sheet'!O306</f>
        <v>0</v>
      </c>
    </row>
    <row r="297" spans="1:8" x14ac:dyDescent="0.25">
      <c r="A297" s="1">
        <f>+'Pricing sheet'!A307</f>
        <v>0</v>
      </c>
      <c r="B297" s="75">
        <f>+'Pricing sheet'!B307</f>
        <v>0</v>
      </c>
      <c r="C297" s="75">
        <f>+'Pricing sheet'!C307</f>
        <v>0</v>
      </c>
      <c r="D297" s="75">
        <f>+'Pricing sheet'!D307</f>
        <v>0</v>
      </c>
      <c r="E297" s="75">
        <f>+'Pricing sheet'!E307</f>
        <v>0</v>
      </c>
      <c r="F297" s="126">
        <f>+'Pricing sheet'!M307</f>
        <v>0</v>
      </c>
      <c r="G297" s="126">
        <f>+'Pricing sheet'!N307</f>
        <v>0</v>
      </c>
      <c r="H297" s="126">
        <f>+'Pricing sheet'!O307</f>
        <v>0</v>
      </c>
    </row>
    <row r="298" spans="1:8" x14ac:dyDescent="0.25">
      <c r="A298" s="1">
        <f>+'Pricing sheet'!A308</f>
        <v>0</v>
      </c>
      <c r="B298" s="75">
        <f>+'Pricing sheet'!B308</f>
        <v>0</v>
      </c>
      <c r="C298" s="75">
        <f>+'Pricing sheet'!C308</f>
        <v>0</v>
      </c>
      <c r="D298" s="75">
        <f>+'Pricing sheet'!D308</f>
        <v>0</v>
      </c>
      <c r="E298" s="75">
        <f>+'Pricing sheet'!E308</f>
        <v>0</v>
      </c>
      <c r="F298" s="126">
        <f>+'Pricing sheet'!M308</f>
        <v>0</v>
      </c>
      <c r="G298" s="126">
        <f>+'Pricing sheet'!N308</f>
        <v>0</v>
      </c>
      <c r="H298" s="126">
        <f>+'Pricing sheet'!O308</f>
        <v>0</v>
      </c>
    </row>
    <row r="299" spans="1:8" x14ac:dyDescent="0.25">
      <c r="A299" s="1">
        <f>+'Pricing sheet'!A309</f>
        <v>0</v>
      </c>
      <c r="B299" s="75">
        <f>+'Pricing sheet'!B309</f>
        <v>0</v>
      </c>
      <c r="C299" s="75">
        <f>+'Pricing sheet'!C309</f>
        <v>0</v>
      </c>
      <c r="D299" s="75">
        <f>+'Pricing sheet'!D309</f>
        <v>0</v>
      </c>
      <c r="E299" s="75">
        <f>+'Pricing sheet'!E309</f>
        <v>0</v>
      </c>
      <c r="F299" s="126">
        <f>+'Pricing sheet'!M309</f>
        <v>0</v>
      </c>
      <c r="G299" s="126">
        <f>+'Pricing sheet'!N309</f>
        <v>0</v>
      </c>
      <c r="H299" s="126">
        <f>+'Pricing sheet'!O309</f>
        <v>0</v>
      </c>
    </row>
    <row r="300" spans="1:8" x14ac:dyDescent="0.25">
      <c r="A300" s="1">
        <f>+'Pricing sheet'!A310</f>
        <v>0</v>
      </c>
      <c r="B300" s="75">
        <f>+'Pricing sheet'!B310</f>
        <v>0</v>
      </c>
      <c r="C300" s="75">
        <f>+'Pricing sheet'!C310</f>
        <v>0</v>
      </c>
      <c r="D300" s="75">
        <f>+'Pricing sheet'!D310</f>
        <v>0</v>
      </c>
      <c r="E300" s="75">
        <f>+'Pricing sheet'!E310</f>
        <v>0</v>
      </c>
      <c r="F300" s="126">
        <f>+'Pricing sheet'!M310</f>
        <v>0</v>
      </c>
      <c r="G300" s="126">
        <f>+'Pricing sheet'!N310</f>
        <v>0</v>
      </c>
      <c r="H300" s="126">
        <f>+'Pricing sheet'!O310</f>
        <v>0</v>
      </c>
    </row>
  </sheetData>
  <dataValidations count="10">
    <dataValidation type="list" allowBlank="1" showInputMessage="1" showErrorMessage="1" sqref="F3:F4" xr:uid="{EAE0E2F0-A1C5-4DC3-AC6E-AFDAA54BB3BB}">
      <formula1>"Gearbox,Gearless"</formula1>
    </dataValidation>
    <dataValidation type="list" allowBlank="1" showInputMessage="1" showErrorMessage="1" sqref="G2" xr:uid="{D48027F3-0C65-45A5-9D33-20D733C3DBED}">
      <formula1>"4,5,6,7,8,9,10,11,12"</formula1>
    </dataValidation>
    <dataValidation type="list" allowBlank="1" showInputMessage="1" showErrorMessage="1" sqref="H2" xr:uid="{9043DCCF-9EB3-47EA-A1F1-E75221908277}">
      <formula1>"2,3,4,5,6,7,8,9,10,11"</formula1>
    </dataValidation>
    <dataValidation type="list" allowBlank="1" showInputMessage="1" showErrorMessage="1" sqref="I2" xr:uid="{02A0A518-3592-4A04-B233-5ED0FBA81E2A}">
      <formula1>"GEM,MONTANARI,PRIMO,AKİŞ"</formula1>
    </dataValidation>
    <dataValidation type="list" allowBlank="1" showInputMessage="1" showErrorMessage="1" sqref="K2" xr:uid="{ABF78765-FE09-45D3-941D-195FD5586C13}">
      <formula1>"EPOXY,INOX"</formula1>
    </dataValidation>
    <dataValidation type="list" allowBlank="1" showInputMessage="1" showErrorMessage="1" sqref="F2" xr:uid="{07A3C9A9-EEBF-4CA4-AAE3-7FC6778AC888}">
      <formula1>"2V,GEARLESS,VVVF"</formula1>
    </dataValidation>
    <dataValidation type="list" allowBlank="1" showInputMessage="1" showErrorMessage="1" sqref="J2" xr:uid="{01F8297E-153C-42E9-8A68-DD4CF328B940}">
      <formula1>"FERMATOR,ATERYA,DEAS"</formula1>
    </dataValidation>
    <dataValidation type="list" allowBlank="1" showInputMessage="1" showErrorMessage="1" sqref="E2:E4" xr:uid="{636FCC7F-DA34-4491-99EE-DCE1739A6ED5}">
      <formula1>"min,normal,stock"</formula1>
    </dataValidation>
    <dataValidation type="list" allowBlank="1" showInputMessage="1" showErrorMessage="1" sqref="L2" xr:uid="{FDB4011B-0D4E-46FF-A820-EE9C15205970}">
      <formula1>"SEMI,AUTOMATIQUE"</formula1>
    </dataValidation>
    <dataValidation type="list" allowBlank="1" showInputMessage="1" showErrorMessage="1" sqref="M2" xr:uid="{D055E420-F9FE-454B-8677-DBCCBE6F8615}">
      <formula1>"60,70,80,90"</formula1>
    </dataValidation>
  </dataValidations>
  <pageMargins left="0.7" right="0.7" top="0.75" bottom="0.75" header="0.3" footer="0.3"/>
  <pageSetup orientation="portrait" horizontalDpi="300" verticalDpi="300" r:id="rId1"/>
  <colBreaks count="1" manualBreakCount="1">
    <brk id="22" max="21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E5E5-3E99-4855-9731-35D48C931FEB}">
  <dimension ref="A2:K25"/>
  <sheetViews>
    <sheetView topLeftCell="A2" zoomScale="80" zoomScaleNormal="80" workbookViewId="0">
      <selection activeCell="D29" sqref="D29"/>
    </sheetView>
  </sheetViews>
  <sheetFormatPr baseColWidth="10" defaultRowHeight="15" x14ac:dyDescent="0.25"/>
  <cols>
    <col min="2" max="3" width="38.5703125" customWidth="1"/>
    <col min="4" max="5" width="20.42578125" customWidth="1"/>
    <col min="6" max="6" width="22" customWidth="1"/>
    <col min="8" max="8" width="22.28515625" customWidth="1"/>
  </cols>
  <sheetData>
    <row r="2" spans="1:7" x14ac:dyDescent="0.25">
      <c r="A2" t="s">
        <v>778</v>
      </c>
      <c r="B2" t="s">
        <v>777</v>
      </c>
      <c r="C2" t="s">
        <v>776</v>
      </c>
      <c r="D2" t="s">
        <v>774</v>
      </c>
      <c r="E2" t="s">
        <v>775</v>
      </c>
      <c r="F2" t="s">
        <v>773</v>
      </c>
      <c r="G2" t="s">
        <v>779</v>
      </c>
    </row>
    <row r="3" spans="1:7" ht="15" customHeight="1" x14ac:dyDescent="0.25">
      <c r="A3" s="6" t="s">
        <v>539</v>
      </c>
      <c r="B3" s="202" t="s">
        <v>405</v>
      </c>
      <c r="C3" s="2" t="s">
        <v>762</v>
      </c>
      <c r="D3" s="203">
        <v>0.6</v>
      </c>
      <c r="E3" s="203">
        <v>0.78200000000000003</v>
      </c>
      <c r="F3" s="207">
        <v>1.3033333333333335</v>
      </c>
      <c r="G3" s="208">
        <f>+F3-1</f>
        <v>0.30333333333333345</v>
      </c>
    </row>
    <row r="4" spans="1:7" ht="15" customHeight="1" x14ac:dyDescent="0.25">
      <c r="A4" s="6" t="s">
        <v>540</v>
      </c>
      <c r="B4" s="204" t="s">
        <v>406</v>
      </c>
      <c r="C4" s="2" t="s">
        <v>763</v>
      </c>
      <c r="D4" s="203">
        <v>0.9</v>
      </c>
      <c r="E4" s="203">
        <v>0.90849999999999997</v>
      </c>
      <c r="F4" s="207">
        <v>1.0094444444444444</v>
      </c>
      <c r="G4" s="208">
        <f t="shared" ref="G4:G24" si="0">+F4-1</f>
        <v>9.4444444444443665E-3</v>
      </c>
    </row>
    <row r="5" spans="1:7" ht="15" customHeight="1" x14ac:dyDescent="0.25">
      <c r="A5" s="6" t="s">
        <v>541</v>
      </c>
      <c r="B5" s="204" t="s">
        <v>237</v>
      </c>
      <c r="C5" s="2" t="s">
        <v>660</v>
      </c>
      <c r="D5" s="203">
        <v>0.28000000000000003</v>
      </c>
      <c r="E5" s="203">
        <v>0.32200000000000001</v>
      </c>
      <c r="F5" s="207">
        <v>1.1499999999999999</v>
      </c>
      <c r="G5" s="208">
        <f t="shared" si="0"/>
        <v>0.14999999999999991</v>
      </c>
    </row>
    <row r="6" spans="1:7" ht="15" customHeight="1" x14ac:dyDescent="0.25">
      <c r="A6" s="6" t="s">
        <v>542</v>
      </c>
      <c r="B6" s="202" t="s">
        <v>238</v>
      </c>
      <c r="C6" s="2" t="s">
        <v>662</v>
      </c>
      <c r="D6" s="203">
        <v>0.37</v>
      </c>
      <c r="E6" s="203">
        <v>0.43699999999999994</v>
      </c>
      <c r="F6" s="207">
        <v>1.181081081081081</v>
      </c>
      <c r="G6" s="208">
        <f t="shared" si="0"/>
        <v>0.18108108108108101</v>
      </c>
    </row>
    <row r="7" spans="1:7" ht="15" customHeight="1" x14ac:dyDescent="0.25">
      <c r="A7" s="6" t="s">
        <v>543</v>
      </c>
      <c r="B7" s="202" t="s">
        <v>422</v>
      </c>
      <c r="C7" s="2" t="s">
        <v>664</v>
      </c>
      <c r="D7" s="203">
        <v>0.47</v>
      </c>
      <c r="E7" s="203">
        <v>0.5635</v>
      </c>
      <c r="F7" s="207">
        <v>1.1989361702127661</v>
      </c>
      <c r="G7" s="208">
        <f t="shared" si="0"/>
        <v>0.19893617021276611</v>
      </c>
    </row>
    <row r="8" spans="1:7" ht="15" customHeight="1" x14ac:dyDescent="0.25">
      <c r="A8" s="6" t="s">
        <v>544</v>
      </c>
      <c r="B8" s="204" t="s">
        <v>242</v>
      </c>
      <c r="C8" s="2" t="s">
        <v>761</v>
      </c>
      <c r="D8" s="203">
        <v>0.21</v>
      </c>
      <c r="E8" s="203">
        <v>0.26449999999999996</v>
      </c>
      <c r="F8" s="207">
        <v>1.2595238095238093</v>
      </c>
      <c r="G8" s="208">
        <f t="shared" si="0"/>
        <v>0.25952380952380927</v>
      </c>
    </row>
    <row r="9" spans="1:7" ht="15" customHeight="1" x14ac:dyDescent="0.25">
      <c r="A9" s="6" t="s">
        <v>545</v>
      </c>
      <c r="B9" s="204" t="s">
        <v>648</v>
      </c>
      <c r="C9" s="2" t="s">
        <v>772</v>
      </c>
      <c r="D9" s="203">
        <v>0.5</v>
      </c>
      <c r="E9" s="203">
        <v>0.69</v>
      </c>
      <c r="F9" s="207">
        <v>1.38</v>
      </c>
      <c r="G9" s="208">
        <f t="shared" si="0"/>
        <v>0.37999999999999989</v>
      </c>
    </row>
    <row r="10" spans="1:7" ht="15" customHeight="1" x14ac:dyDescent="0.25">
      <c r="A10" s="6" t="s">
        <v>546</v>
      </c>
      <c r="B10" s="204" t="s">
        <v>432</v>
      </c>
      <c r="C10" s="2" t="s">
        <v>679</v>
      </c>
      <c r="D10" s="203">
        <v>0.92</v>
      </c>
      <c r="E10" s="203">
        <v>0.94300000000000006</v>
      </c>
      <c r="F10" s="207">
        <v>1.0249999999999999</v>
      </c>
      <c r="G10" s="208">
        <f t="shared" si="0"/>
        <v>2.4999999999999911E-2</v>
      </c>
    </row>
    <row r="11" spans="1:7" ht="15" customHeight="1" x14ac:dyDescent="0.25">
      <c r="A11" s="6" t="s">
        <v>547</v>
      </c>
      <c r="B11" s="204" t="s">
        <v>724</v>
      </c>
      <c r="C11" s="2" t="s">
        <v>722</v>
      </c>
      <c r="D11" s="98">
        <v>0.87</v>
      </c>
      <c r="E11" s="98">
        <v>0.74749999999999994</v>
      </c>
      <c r="F11" s="207">
        <v>0.8591954022988505</v>
      </c>
      <c r="G11" s="208">
        <f t="shared" si="0"/>
        <v>-0.1408045977011495</v>
      </c>
    </row>
    <row r="12" spans="1:7" ht="15" customHeight="1" x14ac:dyDescent="0.25">
      <c r="A12" s="6" t="s">
        <v>548</v>
      </c>
      <c r="B12" s="204" t="s">
        <v>477</v>
      </c>
      <c r="C12" s="2" t="s">
        <v>680</v>
      </c>
      <c r="D12" s="203">
        <v>0.28000000000000003</v>
      </c>
      <c r="E12" s="203">
        <v>0.28749999999999998</v>
      </c>
      <c r="F12" s="207">
        <v>1.0267857142857142</v>
      </c>
      <c r="G12" s="208">
        <f t="shared" si="0"/>
        <v>2.6785714285714191E-2</v>
      </c>
    </row>
    <row r="13" spans="1:7" ht="15" customHeight="1" x14ac:dyDescent="0.25">
      <c r="A13" s="6" t="s">
        <v>549</v>
      </c>
      <c r="B13" s="204" t="s">
        <v>479</v>
      </c>
      <c r="C13" s="2" t="s">
        <v>682</v>
      </c>
      <c r="D13" s="203">
        <v>0.2</v>
      </c>
      <c r="E13" s="203">
        <v>0.24149999999999996</v>
      </c>
      <c r="F13" s="207">
        <v>1.2074999999999998</v>
      </c>
      <c r="G13" s="208">
        <f t="shared" si="0"/>
        <v>0.2074999999999998</v>
      </c>
    </row>
    <row r="14" spans="1:7" ht="15" customHeight="1" x14ac:dyDescent="0.25">
      <c r="A14" s="6" t="s">
        <v>550</v>
      </c>
      <c r="B14" s="204" t="s">
        <v>733</v>
      </c>
      <c r="C14" s="2" t="s">
        <v>731</v>
      </c>
      <c r="D14" s="203">
        <v>0.15</v>
      </c>
      <c r="E14" s="203">
        <v>0.13799999999999998</v>
      </c>
      <c r="F14" s="207">
        <v>0.91999999999999993</v>
      </c>
      <c r="G14" s="208">
        <f t="shared" si="0"/>
        <v>-8.0000000000000071E-2</v>
      </c>
    </row>
    <row r="15" spans="1:7" ht="15" customHeight="1" x14ac:dyDescent="0.25">
      <c r="A15" s="6" t="s">
        <v>551</v>
      </c>
      <c r="B15" s="204" t="s">
        <v>480</v>
      </c>
      <c r="C15" s="2" t="s">
        <v>683</v>
      </c>
      <c r="D15" s="203">
        <v>0.1</v>
      </c>
      <c r="E15" s="203">
        <v>8.0500000000000002E-2</v>
      </c>
      <c r="F15" s="207">
        <v>0.80499999999999994</v>
      </c>
      <c r="G15" s="208">
        <f t="shared" si="0"/>
        <v>-0.19500000000000006</v>
      </c>
    </row>
    <row r="16" spans="1:7" ht="15" customHeight="1" x14ac:dyDescent="0.25">
      <c r="A16" s="6" t="s">
        <v>552</v>
      </c>
      <c r="B16" s="204" t="s">
        <v>408</v>
      </c>
      <c r="C16" s="2" t="s">
        <v>685</v>
      </c>
      <c r="D16" s="203">
        <v>0.25</v>
      </c>
      <c r="E16" s="203">
        <v>0.437</v>
      </c>
      <c r="F16" s="207">
        <v>1.748</v>
      </c>
      <c r="G16" s="208">
        <f t="shared" si="0"/>
        <v>0.748</v>
      </c>
    </row>
    <row r="17" spans="1:11" ht="15" customHeight="1" x14ac:dyDescent="0.25">
      <c r="A17" s="6" t="s">
        <v>553</v>
      </c>
      <c r="B17" s="205" t="s">
        <v>292</v>
      </c>
      <c r="C17" s="2" t="s">
        <v>686</v>
      </c>
      <c r="D17" s="203">
        <v>1</v>
      </c>
      <c r="E17" s="203">
        <v>1.4949999999999999</v>
      </c>
      <c r="F17" s="207">
        <v>1.4949999999999999</v>
      </c>
      <c r="G17" s="208">
        <f t="shared" si="0"/>
        <v>0.49499999999999988</v>
      </c>
    </row>
    <row r="18" spans="1:11" ht="15" customHeight="1" x14ac:dyDescent="0.25">
      <c r="A18" s="6" t="s">
        <v>554</v>
      </c>
      <c r="B18" s="204" t="s">
        <v>409</v>
      </c>
      <c r="C18" s="2" t="s">
        <v>765</v>
      </c>
      <c r="D18" s="203">
        <v>6</v>
      </c>
      <c r="E18" s="203">
        <v>7.4749999999999996</v>
      </c>
      <c r="F18" s="207">
        <v>1.2458333333333333</v>
      </c>
      <c r="G18" s="208">
        <f t="shared" si="0"/>
        <v>0.24583333333333335</v>
      </c>
      <c r="H18" t="s">
        <v>767</v>
      </c>
      <c r="I18" s="181">
        <v>8.2799999999999994</v>
      </c>
      <c r="J18" s="201">
        <v>1.38</v>
      </c>
      <c r="K18" s="208">
        <f t="shared" ref="K18:K19" si="1">+J18-1</f>
        <v>0.37999999999999989</v>
      </c>
    </row>
    <row r="19" spans="1:11" ht="15" customHeight="1" x14ac:dyDescent="0.25">
      <c r="A19" s="6" t="s">
        <v>555</v>
      </c>
      <c r="B19" s="204" t="s">
        <v>481</v>
      </c>
      <c r="C19" s="2" t="s">
        <v>764</v>
      </c>
      <c r="D19" s="206">
        <v>3.5</v>
      </c>
      <c r="E19" s="206">
        <v>7.4749999999999996</v>
      </c>
      <c r="F19" s="207">
        <v>2.1357142857142857</v>
      </c>
      <c r="G19" s="208">
        <f t="shared" si="0"/>
        <v>1.1357142857142857</v>
      </c>
      <c r="H19" t="s">
        <v>766</v>
      </c>
      <c r="I19" s="183">
        <v>4.3125</v>
      </c>
      <c r="J19" s="201">
        <v>1.2321428571428572</v>
      </c>
      <c r="K19" s="208">
        <f t="shared" si="1"/>
        <v>0.23214285714285721</v>
      </c>
    </row>
    <row r="20" spans="1:11" ht="15" customHeight="1" x14ac:dyDescent="0.25">
      <c r="A20" s="6" t="s">
        <v>556</v>
      </c>
      <c r="B20" s="204" t="s">
        <v>744</v>
      </c>
      <c r="C20" s="2" t="s">
        <v>690</v>
      </c>
      <c r="D20" s="119">
        <v>33</v>
      </c>
      <c r="E20" s="119">
        <v>34.5</v>
      </c>
      <c r="F20" s="207">
        <v>1.0454545454545454</v>
      </c>
      <c r="G20" s="208">
        <f t="shared" si="0"/>
        <v>4.5454545454545414E-2</v>
      </c>
    </row>
    <row r="21" spans="1:11" ht="15" customHeight="1" x14ac:dyDescent="0.25">
      <c r="A21" s="6" t="s">
        <v>557</v>
      </c>
      <c r="B21" s="204" t="s">
        <v>256</v>
      </c>
      <c r="C21" s="2" t="s">
        <v>692</v>
      </c>
      <c r="D21" s="98">
        <v>0.4</v>
      </c>
      <c r="E21" s="98">
        <v>0.437</v>
      </c>
      <c r="F21" s="207">
        <v>1.0925</v>
      </c>
      <c r="G21" s="208">
        <f t="shared" si="0"/>
        <v>9.2500000000000027E-2</v>
      </c>
    </row>
    <row r="22" spans="1:11" ht="15" customHeight="1" x14ac:dyDescent="0.25">
      <c r="A22" s="6" t="s">
        <v>558</v>
      </c>
      <c r="B22" s="204" t="s">
        <v>411</v>
      </c>
      <c r="C22" s="2" t="s">
        <v>694</v>
      </c>
      <c r="D22" s="98">
        <v>0.09</v>
      </c>
      <c r="E22" s="98">
        <v>0.10349999999999999</v>
      </c>
      <c r="F22" s="207">
        <v>1.1499999999999999</v>
      </c>
      <c r="G22" s="208">
        <f t="shared" si="0"/>
        <v>0.14999999999999991</v>
      </c>
    </row>
    <row r="23" spans="1:11" ht="15" customHeight="1" x14ac:dyDescent="0.25">
      <c r="A23" s="6" t="s">
        <v>559</v>
      </c>
      <c r="B23" s="204" t="s">
        <v>259</v>
      </c>
      <c r="C23" s="2" t="s">
        <v>770</v>
      </c>
      <c r="D23" s="203">
        <v>2</v>
      </c>
      <c r="E23" s="203">
        <v>5.1749999999999998</v>
      </c>
      <c r="F23" s="207">
        <v>2.5874999999999999</v>
      </c>
      <c r="G23" s="208">
        <f t="shared" si="0"/>
        <v>1.5874999999999999</v>
      </c>
    </row>
    <row r="24" spans="1:11" ht="15" customHeight="1" x14ac:dyDescent="0.25">
      <c r="A24" s="6" t="s">
        <v>560</v>
      </c>
      <c r="B24" s="204" t="s">
        <v>484</v>
      </c>
      <c r="C24" s="2" t="s">
        <v>768</v>
      </c>
      <c r="D24" s="203">
        <v>1.6</v>
      </c>
      <c r="E24" s="203">
        <v>1.6099999999999999</v>
      </c>
      <c r="F24" s="207">
        <v>1.0062499999999999</v>
      </c>
      <c r="G24" s="208">
        <f t="shared" si="0"/>
        <v>6.2499999999998668E-3</v>
      </c>
      <c r="H24" t="s">
        <v>769</v>
      </c>
      <c r="I24" s="181">
        <v>1.4949999999999999</v>
      </c>
      <c r="J24" s="201">
        <v>0.93437499999999984</v>
      </c>
      <c r="K24" s="208">
        <f t="shared" ref="K24" si="2">+J24-1</f>
        <v>-6.5625000000000155E-2</v>
      </c>
    </row>
    <row r="25" spans="1:11" ht="18.75" x14ac:dyDescent="0.25">
      <c r="H25" s="183"/>
      <c r="K25" s="208"/>
    </row>
  </sheetData>
  <conditionalFormatting sqref="F3:F24">
    <cfRule type="cellIs" dxfId="3" priority="4" operator="greaterThan">
      <formula>1</formula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{5AFEE072-A77D-4376-BB14-62CFD73E117E}</x14:id>
        </ext>
      </extLst>
    </cfRule>
  </conditionalFormatting>
  <conditionalFormatting sqref="G3:G24">
    <cfRule type="cellIs" dxfId="2" priority="3" operator="greaterThan">
      <formula>0</formula>
    </cfRule>
  </conditionalFormatting>
  <conditionalFormatting sqref="J18:J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{9DB64CA3-314E-494A-831B-6EF75700B7B6}</x14:id>
        </ext>
      </extLst>
    </cfRule>
  </conditionalFormatting>
  <conditionalFormatting sqref="J2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{64D29F9F-D4DA-4596-B6C2-1850FD74314F}</x14:id>
        </ext>
      </extLst>
    </cfRule>
  </conditionalFormatting>
  <conditionalFormatting sqref="K18:K19">
    <cfRule type="cellIs" dxfId="1" priority="2" operator="greaterThan">
      <formula>0</formula>
    </cfRule>
  </conditionalFormatting>
  <conditionalFormatting sqref="K24:K25"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FEE072-A77D-4376-BB14-62CFD73E1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F3:F24</xm:sqref>
        </x14:conditionalFormatting>
        <x14:conditionalFormatting xmlns:xm="http://schemas.microsoft.com/office/excel/2006/main">
          <x14:cfRule type="dataBar" id="{9DB64CA3-314E-494A-831B-6EF75700B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J18:J19</xm:sqref>
        </x14:conditionalFormatting>
        <x14:conditionalFormatting xmlns:xm="http://schemas.microsoft.com/office/excel/2006/main">
          <x14:cfRule type="dataBar" id="{64D29F9F-D4DA-4596-B6C2-1850FD743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0677C39860F49841FEDB3D6A19440" ma:contentTypeVersion="15" ma:contentTypeDescription="Crée un document." ma:contentTypeScope="" ma:versionID="3415c1aae3310a874dc845019d94cf12">
  <xsd:schema xmlns:xsd="http://www.w3.org/2001/XMLSchema" xmlns:xs="http://www.w3.org/2001/XMLSchema" xmlns:p="http://schemas.microsoft.com/office/2006/metadata/properties" xmlns:ns3="5ef11587-5632-4302-8816-ddaa67d006ac" targetNamespace="http://schemas.microsoft.com/office/2006/metadata/properties" ma:root="true" ma:fieldsID="31d40820f34935bc452fbfd7769fdd4c" ns3:_="">
    <xsd:import namespace="5ef11587-5632-4302-8816-ddaa67d006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11587-5632-4302-8816-ddaa67d00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f11587-5632-4302-8816-ddaa67d006ac" xsi:nil="true"/>
  </documentManagement>
</p:properties>
</file>

<file path=customXml/itemProps1.xml><?xml version="1.0" encoding="utf-8"?>
<ds:datastoreItem xmlns:ds="http://schemas.openxmlformats.org/officeDocument/2006/customXml" ds:itemID="{361842E7-6542-44BF-9424-C9AF2C978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2B1516-BB9C-4D89-AD86-D85C9D785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11587-5632-4302-8816-ddaa67d00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8B702-991A-42BF-8FBD-B6CF329B263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5ef11587-5632-4302-8816-ddaa67d006a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Morocco Prices</vt:lpstr>
      <vt:lpstr>Bolt Sara Adana</vt:lpstr>
      <vt:lpstr>Pricing Turkey</vt:lpstr>
      <vt:lpstr>Pricing sheet</vt:lpstr>
      <vt:lpstr>Pricing sheet clean</vt:lpstr>
      <vt:lpstr>Comparison</vt:lpstr>
      <vt:lpstr>'Pricing sheet'!Zone_d_impression</vt:lpstr>
      <vt:lpstr>'Pricing sheet clean'!Zone_d_impression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 el ouaryachi</dc:creator>
  <cp:lastModifiedBy>Taha ELOUARYACHI</cp:lastModifiedBy>
  <cp:lastPrinted>2025-12-18T12:10:40Z</cp:lastPrinted>
  <dcterms:created xsi:type="dcterms:W3CDTF">2015-06-05T18:17:20Z</dcterms:created>
  <dcterms:modified xsi:type="dcterms:W3CDTF">2026-02-13T10:45:19Z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0x0101004420677C39860F49841FEDB3D6A19440</vt:lpwstr>
  </property>
</Properties>
</file>