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\Desktop\"/>
    </mc:Choice>
  </mc:AlternateContent>
  <xr:revisionPtr revIDLastSave="0" documentId="8_{7FB66569-261E-4070-915A-4A9E7CF6CBC0}" xr6:coauthVersionLast="47" xr6:coauthVersionMax="47" xr10:uidLastSave="{00000000-0000-0000-0000-000000000000}"/>
  <bookViews>
    <workbookView xWindow="-108" yWindow="-108" windowWidth="23256" windowHeight="13176" firstSheet="1" activeTab="1" xr2:uid="{4B0D7EB5-5BF4-4CB2-AA29-919CB104A436}"/>
  </bookViews>
  <sheets>
    <sheet name="Objectives" sheetId="5" r:id="rId1"/>
    <sheet name="Planner" sheetId="2" r:id="rId2"/>
    <sheet name="Data and Lookup" sheetId="4" r:id="rId3"/>
  </sheets>
  <definedNames>
    <definedName name="Common_Levels">Costs_Common[Level]</definedName>
    <definedName name="Common_Max_Level">'Data and Lookup'!$D$26</definedName>
    <definedName name="Epic_Levels">Costs_Epic[Level]</definedName>
    <definedName name="Epic_Max_Level">'Data and Lookup'!$D$25</definedName>
    <definedName name="Equipment_Name">Equipment_List6[Equipment Name]</definedName>
    <definedName name="League">Star_Bonus[League]</definedName>
    <definedName name="publish_this">Planner!$A$1:$O$54</definedName>
    <definedName name="Town_Hall">Clan_War[Town Hall Level]</definedName>
    <definedName name="War_Frequency">Division_Factor[War Frequency]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M48" i="2"/>
  <c r="M46" i="2"/>
  <c r="M44" i="2"/>
  <c r="M42" i="2"/>
  <c r="M40" i="2"/>
  <c r="M38" i="2"/>
  <c r="M36" i="2"/>
  <c r="M34" i="2"/>
  <c r="M32" i="2"/>
  <c r="M30" i="2"/>
  <c r="M28" i="2"/>
  <c r="M26" i="2"/>
  <c r="M24" i="2"/>
  <c r="M22" i="2"/>
  <c r="M20" i="2"/>
  <c r="R7" i="2"/>
  <c r="E12" i="2"/>
  <c r="F12" i="2"/>
  <c r="G12" i="2"/>
  <c r="H12" i="2"/>
  <c r="D12" i="2"/>
  <c r="H8" i="2"/>
  <c r="G8" i="2"/>
  <c r="C81" i="4" l="1"/>
  <c r="D50" i="2"/>
  <c r="D49" i="2"/>
  <c r="E51" i="2" l="1"/>
  <c r="F51" i="2" s="1"/>
  <c r="E49" i="2"/>
  <c r="F49" i="2" s="1"/>
  <c r="E50" i="2"/>
  <c r="F50" i="2" s="1"/>
  <c r="U5" i="4"/>
  <c r="U6" i="4"/>
  <c r="D26" i="4"/>
  <c r="D25" i="4"/>
  <c r="V5" i="4"/>
  <c r="W5" i="4"/>
  <c r="X5" i="4"/>
  <c r="Y5" i="4"/>
  <c r="V6" i="4"/>
  <c r="W6" i="4"/>
  <c r="X6" i="4"/>
  <c r="Y6" i="4"/>
  <c r="B20" i="4"/>
  <c r="B19" i="4"/>
  <c r="B18" i="4"/>
  <c r="B17" i="4"/>
  <c r="B16" i="4"/>
  <c r="B15" i="4"/>
  <c r="B14" i="4"/>
  <c r="B13" i="4"/>
  <c r="S6" i="2" s="1"/>
  <c r="V23" i="4" s="1"/>
  <c r="B12" i="4"/>
  <c r="B11" i="4"/>
  <c r="B10" i="4"/>
  <c r="B9" i="4"/>
  <c r="B8" i="4"/>
  <c r="B7" i="4"/>
  <c r="B6" i="4"/>
  <c r="X45" i="4"/>
  <c r="Y45" i="4"/>
  <c r="U45" i="4"/>
  <c r="V45" i="4"/>
  <c r="V24" i="4" l="1"/>
  <c r="T6" i="2"/>
  <c r="W23" i="4" s="1"/>
  <c r="W45" i="4"/>
  <c r="U39" i="4"/>
  <c r="Y34" i="4"/>
  <c r="X31" i="4"/>
  <c r="X28" i="4"/>
  <c r="Y42" i="4"/>
  <c r="W39" i="4"/>
  <c r="U34" i="4"/>
  <c r="W31" i="4"/>
  <c r="W28" i="4"/>
  <c r="W42" i="4"/>
  <c r="X39" i="4"/>
  <c r="W34" i="4"/>
  <c r="Y31" i="4"/>
  <c r="U31" i="4"/>
  <c r="Y28" i="4"/>
  <c r="X42" i="4"/>
  <c r="U42" i="4"/>
  <c r="Y39" i="4"/>
  <c r="X34" i="4"/>
  <c r="U28" i="4"/>
  <c r="V31" i="4"/>
  <c r="V34" i="4"/>
  <c r="V28" i="4"/>
  <c r="V39" i="4"/>
  <c r="V42" i="4"/>
  <c r="V17" i="4"/>
  <c r="U17" i="4"/>
  <c r="V15" i="4"/>
  <c r="W15" i="4"/>
  <c r="W17" i="4"/>
  <c r="X15" i="4"/>
  <c r="U15" i="4"/>
  <c r="X17" i="4"/>
  <c r="Y15" i="4"/>
  <c r="Y17" i="4"/>
  <c r="W24" i="4" l="1"/>
  <c r="V6" i="2"/>
  <c r="Y23" i="4" s="1"/>
  <c r="U6" i="2"/>
  <c r="X23" i="4" s="1"/>
  <c r="R6" i="2"/>
  <c r="W4" i="4"/>
  <c r="W8" i="4" s="1"/>
  <c r="V4" i="4"/>
  <c r="V8" i="4" s="1"/>
  <c r="W22" i="4"/>
  <c r="V22" i="4"/>
  <c r="W21" i="4"/>
  <c r="V21" i="4"/>
  <c r="Y7" i="4"/>
  <c r="Y46" i="4" s="1"/>
  <c r="Y44" i="4" s="1"/>
  <c r="W12" i="4"/>
  <c r="W11" i="4"/>
  <c r="V12" i="4"/>
  <c r="V11" i="4"/>
  <c r="Y12" i="4"/>
  <c r="Y11" i="4"/>
  <c r="X12" i="4"/>
  <c r="X11" i="4"/>
  <c r="X7" i="4"/>
  <c r="X46" i="4" s="1"/>
  <c r="X44" i="4" s="1"/>
  <c r="V7" i="4"/>
  <c r="V32" i="4" s="1"/>
  <c r="V30" i="4" s="1"/>
  <c r="W7" i="4"/>
  <c r="W29" i="4" s="1"/>
  <c r="W27" i="4" s="1"/>
  <c r="U7" i="4"/>
  <c r="U46" i="4" s="1"/>
  <c r="U44" i="4" s="1"/>
  <c r="U11" i="4"/>
  <c r="U12" i="4"/>
  <c r="Y21" i="4" l="1"/>
  <c r="Y22" i="4"/>
  <c r="X24" i="4"/>
  <c r="Y4" i="4"/>
  <c r="Y8" i="4" s="1"/>
  <c r="Y24" i="4"/>
  <c r="U24" i="4"/>
  <c r="U23" i="4"/>
  <c r="V46" i="4"/>
  <c r="V44" i="4" s="1"/>
  <c r="U21" i="4"/>
  <c r="U4" i="4"/>
  <c r="U8" i="4" s="1"/>
  <c r="W46" i="4"/>
  <c r="W44" i="4" s="1"/>
  <c r="U22" i="4"/>
  <c r="X21" i="4"/>
  <c r="X22" i="4"/>
  <c r="X4" i="4"/>
  <c r="X8" i="4" s="1"/>
  <c r="V29" i="4"/>
  <c r="V27" i="4" s="1"/>
  <c r="V35" i="4"/>
  <c r="V33" i="4" s="1"/>
  <c r="V43" i="4"/>
  <c r="V41" i="4" s="1"/>
  <c r="V40" i="4"/>
  <c r="V38" i="4" s="1"/>
  <c r="Y29" i="4"/>
  <c r="Y27" i="4" s="1"/>
  <c r="Y40" i="4"/>
  <c r="Y38" i="4" s="1"/>
  <c r="Y32" i="4"/>
  <c r="Y30" i="4" s="1"/>
  <c r="Y35" i="4"/>
  <c r="Y33" i="4" s="1"/>
  <c r="Y43" i="4"/>
  <c r="Y41" i="4" s="1"/>
  <c r="W40" i="4"/>
  <c r="W38" i="4" s="1"/>
  <c r="W35" i="4"/>
  <c r="W33" i="4" s="1"/>
  <c r="W43" i="4"/>
  <c r="W41" i="4" s="1"/>
  <c r="W32" i="4"/>
  <c r="W30" i="4" s="1"/>
  <c r="X29" i="4"/>
  <c r="X27" i="4" s="1"/>
  <c r="X35" i="4"/>
  <c r="X33" i="4" s="1"/>
  <c r="X32" i="4"/>
  <c r="X30" i="4" s="1"/>
  <c r="X43" i="4"/>
  <c r="X41" i="4" s="1"/>
  <c r="X40" i="4"/>
  <c r="X38" i="4" s="1"/>
  <c r="U29" i="4"/>
  <c r="U27" i="4" s="1"/>
  <c r="U43" i="4"/>
  <c r="U41" i="4" s="1"/>
  <c r="U40" i="4"/>
  <c r="U38" i="4" s="1"/>
  <c r="U35" i="4"/>
  <c r="U33" i="4" s="1"/>
  <c r="U32" i="4"/>
  <c r="U30" i="4" s="1"/>
  <c r="F21" i="2"/>
  <c r="H21" i="2"/>
  <c r="D22" i="2"/>
  <c r="H22" i="2"/>
  <c r="D21" i="2"/>
  <c r="G21" i="2"/>
  <c r="G22" i="2"/>
  <c r="F22" i="2"/>
  <c r="H20" i="2"/>
  <c r="E21" i="2"/>
  <c r="D20" i="2"/>
  <c r="G20" i="2"/>
  <c r="F20" i="2"/>
  <c r="E22" i="2"/>
  <c r="E20" i="2"/>
  <c r="T8" i="2" l="1"/>
  <c r="T9" i="2"/>
  <c r="W10" i="2"/>
  <c r="W9" i="2"/>
  <c r="W8" i="2"/>
  <c r="V8" i="2"/>
  <c r="U8" i="2"/>
  <c r="U9" i="2"/>
  <c r="V9" i="2"/>
  <c r="U10" i="2"/>
  <c r="T10" i="2"/>
  <c r="V10" i="2"/>
  <c r="S10" i="2"/>
  <c r="S9" i="2"/>
  <c r="S8" i="2"/>
  <c r="D24" i="2" l="1"/>
  <c r="F24" i="2"/>
  <c r="E24" i="2"/>
  <c r="H24" i="2"/>
  <c r="G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Asher Georgy</author>
  </authors>
  <commentList>
    <comment ref="U23" authorId="0" shapeId="0" xr:uid="{684BE568-94A1-4A4D-9FBB-215464DF7AD9}">
      <text>
        <r>
          <rPr>
            <b/>
            <sz val="9"/>
            <color indexed="81"/>
            <rFont val="Tahoma"/>
            <family val="2"/>
          </rPr>
          <t>Is current or desired level of common equipment greater than max level?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</futureMetadata>
  <valueMetadata count="6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</valueMetadata>
</metadata>
</file>

<file path=xl/sharedStrings.xml><?xml version="1.0" encoding="utf-8"?>
<sst xmlns="http://schemas.openxmlformats.org/spreadsheetml/2006/main" count="194" uniqueCount="122">
  <si>
    <t>Starry Ores Required</t>
  </si>
  <si>
    <t>Glowy Ores Required</t>
  </si>
  <si>
    <t>Shiny Ores Required</t>
  </si>
  <si>
    <t>Desired Level</t>
  </si>
  <si>
    <t>Current Level</t>
  </si>
  <si>
    <t>Barbarian Puppet</t>
  </si>
  <si>
    <t>Life Gem</t>
  </si>
  <si>
    <t>Giant Gauntlet</t>
  </si>
  <si>
    <t>Epic</t>
  </si>
  <si>
    <t>Common</t>
  </si>
  <si>
    <t>Max Level</t>
  </si>
  <si>
    <t>Rarity</t>
  </si>
  <si>
    <t>Seeking Sheild</t>
  </si>
  <si>
    <t>Royal Gem</t>
  </si>
  <si>
    <t>Healing Tome</t>
  </si>
  <si>
    <t>Rage Gem</t>
  </si>
  <si>
    <t>Eternal Tome</t>
  </si>
  <si>
    <t>Healer Puppet</t>
  </si>
  <si>
    <t>Giant Arrow</t>
  </si>
  <si>
    <t>Invisibility Vial</t>
  </si>
  <si>
    <t>Archer Puppet</t>
  </si>
  <si>
    <t>Vampstache</t>
  </si>
  <si>
    <t>Earthquake Boots</t>
  </si>
  <si>
    <t>Rage Vial</t>
  </si>
  <si>
    <t>Glowy</t>
  </si>
  <si>
    <t>Shiny</t>
  </si>
  <si>
    <t>Level</t>
  </si>
  <si>
    <t>Starry</t>
  </si>
  <si>
    <t>Equipment Name</t>
  </si>
  <si>
    <t>Index Number</t>
  </si>
  <si>
    <t>Rarity Index Number</t>
  </si>
  <si>
    <t>Data and Lookup</t>
  </si>
  <si>
    <t>-</t>
  </si>
  <si>
    <t>Movement</t>
  </si>
  <si>
    <t>From</t>
  </si>
  <si>
    <t>To</t>
  </si>
  <si>
    <t>$H$32</t>
  </si>
  <si>
    <t>$N$23</t>
  </si>
  <si>
    <t>Desired Level List</t>
  </si>
  <si>
    <t>Desired Level List Max</t>
  </si>
  <si>
    <t>Invalid 'Current Level' for the selected equipment</t>
  </si>
  <si>
    <t>Epic Equipment</t>
  </si>
  <si>
    <t xml:space="preserve">Shiny </t>
  </si>
  <si>
    <t>Common Equipment</t>
  </si>
  <si>
    <t>Calculate how long it will take for the total and for each equipment.</t>
  </si>
  <si>
    <t>Plan out the order which you want to upgrade.</t>
  </si>
  <si>
    <t>Based on star bonus each day</t>
  </si>
  <si>
    <t>Average war bonus</t>
  </si>
  <si>
    <t>From Star Bonus</t>
  </si>
  <si>
    <t>League</t>
  </si>
  <si>
    <t>Shiny Ore Reward</t>
  </si>
  <si>
    <t>Glowy Ore Reward</t>
  </si>
  <si>
    <t>Bronze III</t>
  </si>
  <si>
    <t>Bronze II</t>
  </si>
  <si>
    <t>Bronze I</t>
  </si>
  <si>
    <t>Silver III</t>
  </si>
  <si>
    <t>Silver II</t>
  </si>
  <si>
    <t>Silver I</t>
  </si>
  <si>
    <t>Gold III</t>
  </si>
  <si>
    <t>Gold II</t>
  </si>
  <si>
    <t>Gold I</t>
  </si>
  <si>
    <t>Crystal III</t>
  </si>
  <si>
    <t>Crystal II</t>
  </si>
  <si>
    <t>Crystal I</t>
  </si>
  <si>
    <t>Master III</t>
  </si>
  <si>
    <t>Master II</t>
  </si>
  <si>
    <t>Master I</t>
  </si>
  <si>
    <t>Champion III</t>
  </si>
  <si>
    <t>Champion II</t>
  </si>
  <si>
    <t>Champion I</t>
  </si>
  <si>
    <t>Titan III</t>
  </si>
  <si>
    <t>Titan II</t>
  </si>
  <si>
    <t>Titan I</t>
  </si>
  <si>
    <t>Legend</t>
  </si>
  <si>
    <t>Town Hall Level</t>
  </si>
  <si>
    <t>Max Available Shiny Ore</t>
  </si>
  <si>
    <t>Max Available Glowy Ore</t>
  </si>
  <si>
    <t>Max Available Starry Ore</t>
  </si>
  <si>
    <t>Shiny Ores</t>
  </si>
  <si>
    <t>Glowy Ores</t>
  </si>
  <si>
    <t>Starry Ores</t>
  </si>
  <si>
    <t>War Frequency</t>
  </si>
  <si>
    <t>Daily</t>
  </si>
  <si>
    <t>Division Factor</t>
  </si>
  <si>
    <t>Once a week</t>
  </si>
  <si>
    <t>Twice a week</t>
  </si>
  <si>
    <t>Once in two weeks</t>
  </si>
  <si>
    <t>Once a month</t>
  </si>
  <si>
    <t>Total</t>
  </si>
  <si>
    <t>IF('Data and Lookup'!U$24,'Data and Lookup'!$T$24,IF('Data and Lookup'!U$21,Epic_Max_Level,IF('Data and Lookup'!U$22,Common_Max_Level,IF(B$2=1,INDIRECT('Data and Lookup'!U$11),INDIRECT('Data and Lookup'!U$12)))))</t>
  </si>
  <si>
    <t xml:space="preserve">Current Level </t>
  </si>
  <si>
    <t xml:space="preserve">Desired Level </t>
  </si>
  <si>
    <t>Hero Equipment Upgrade Planner</t>
  </si>
  <si>
    <t>My Townhall Level</t>
  </si>
  <si>
    <t>Clan War frequency</t>
  </si>
  <si>
    <t>My Trophy League</t>
  </si>
  <si>
    <t>War Frequency Division Factor</t>
  </si>
  <si>
    <t>Days Required Calculation</t>
  </si>
  <si>
    <t>Workings</t>
  </si>
  <si>
    <t>My Upgrade Plan</t>
  </si>
  <si>
    <t>My Blacksmith Balance</t>
  </si>
  <si>
    <t>Instructions:</t>
  </si>
  <si>
    <t>Ores earned per 24h</t>
  </si>
  <si>
    <t>Last Updated:</t>
  </si>
  <si>
    <t>Workings:</t>
  </si>
  <si>
    <t>IF('Data and Lookup'!U$24,'Data and Lookup'!$T$24,IF('Data and Lookup'!U$21,Epic_Max_Level,IF('Data and Lookup'!U$22,Common_Max_Level,Choose(R$5,INDIRECT('Data and Lookup'!U$11),INDIRECT('Data and Lookup'!U$12)))))</t>
  </si>
  <si>
    <t>Plan your next 5 Hero Equipment upgrades in Clash of Clans using this tool. Please note the following considerations:</t>
  </si>
  <si>
    <t>While these assumptions provide a baseline, they may not hold true in the long term. It is recommended therefore, to set a lower 'War</t>
  </si>
  <si>
    <t>Frequency' for a more accurate estimate.</t>
  </si>
  <si>
    <t>Keep these considerations in mind to optimize your planning and enhance the accuracy of your estimates. Thank you for visiting.</t>
  </si>
  <si>
    <t>a. Both attacks are performed.</t>
  </si>
  <si>
    <t>c. The war results in a victory.</t>
  </si>
  <si>
    <r>
      <t>3. Days Required to Collect:</t>
    </r>
    <r>
      <rPr>
        <sz val="11"/>
        <color rgb="FF374151"/>
        <rFont val="Aptos Narrow"/>
        <family val="2"/>
        <scheme val="minor"/>
      </rPr>
      <t xml:space="preserve"> The displayed 'Days Required to Collect' represents that of the bottleneck resource, typically the starry ore.</t>
    </r>
  </si>
  <si>
    <t>From War*</t>
  </si>
  <si>
    <r>
      <t>2. *War Rewards Calculation:</t>
    </r>
    <r>
      <rPr>
        <sz val="11"/>
        <color rgb="FF374151"/>
        <rFont val="Aptos Narrow"/>
        <family val="2"/>
        <scheme val="minor"/>
      </rPr>
      <t xml:space="preserve"> The rewards earned from wars are computed under the following assumptions:</t>
    </r>
  </si>
  <si>
    <t xml:space="preserve">maxed town hall 14. </t>
  </si>
  <si>
    <t xml:space="preserve">b. Attacks are against maxed bases at the same town hall level. For instance, to earn full rewards (ores), a town hall 14 must 3-star a </t>
  </si>
  <si>
    <r>
      <t xml:space="preserve">1. </t>
    </r>
    <r>
      <rPr>
        <sz val="11"/>
        <color rgb="FF374151"/>
        <rFont val="Aptos Narrow"/>
        <family val="2"/>
        <scheme val="minor"/>
      </rPr>
      <t xml:space="preserve">This tool estimates the days required based on specific assumptions. To ensure accurate results, </t>
    </r>
    <r>
      <rPr>
        <b/>
        <sz val="11"/>
        <color rgb="FF374151"/>
        <rFont val="Aptos Narrow"/>
        <family val="2"/>
        <scheme val="minor"/>
      </rPr>
      <t>please</t>
    </r>
    <r>
      <rPr>
        <sz val="11"/>
        <color rgb="FF374151"/>
        <rFont val="Aptos Narrow"/>
        <family val="2"/>
        <scheme val="minor"/>
      </rPr>
      <t xml:space="preserve"> make sure you have entered your</t>
    </r>
  </si>
  <si>
    <t xml:space="preserve">It also assumes no ores were bought with gems or otherwise. </t>
  </si>
  <si>
    <t>Make changes to fields marked in blue</t>
  </si>
  <si>
    <t>Days needed to collect the required ores from star bonues and clan wars</t>
  </si>
  <si>
    <t>trophy league, town hall level, blacksmith balance, and clan war frequency accurately.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</si>
</sst>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\ h:mm\ AM/PM"/>
  </numFmts>
  <fonts count="2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 val="double"/>
      <sz val="11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9"/>
      <color indexed="81"/>
      <name val="Tahoma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i/>
      <u/>
      <sz val="11"/>
      <color rgb="FFFF0000"/>
      <name val="Aptos Narrow"/>
      <family val="2"/>
      <scheme val="minor"/>
    </font>
    <font>
      <sz val="11"/>
      <color rgb="FF374151"/>
      <name val="Aptos Narrow"/>
      <family val="2"/>
      <scheme val="minor"/>
    </font>
    <font>
      <sz val="11"/>
      <color rgb="FF37415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374151"/>
      <name val="Aptos Narrow"/>
      <family val="2"/>
      <scheme val="minor"/>
    </font>
    <font>
      <b/>
      <u val="double"/>
      <sz val="18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/>
    </xf>
    <xf numFmtId="0" fontId="3" fillId="0" borderId="0" xfId="0" applyFont="1"/>
    <xf numFmtId="0" fontId="0" fillId="4" borderId="0" xfId="0" applyFill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5" fillId="0" borderId="22" xfId="0" applyFont="1" applyBorder="1"/>
    <xf numFmtId="0" fontId="5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8" fillId="0" borderId="25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/>
    <xf numFmtId="0" fontId="12" fillId="0" borderId="0" xfId="0" applyFont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quotePrefix="1"/>
    <xf numFmtId="0" fontId="14" fillId="0" borderId="0" xfId="0" applyFont="1" applyAlignment="1">
      <alignment horizontal="right"/>
    </xf>
    <xf numFmtId="165" fontId="14" fillId="0" borderId="0" xfId="0" applyNumberFormat="1" applyFont="1" applyAlignment="1">
      <alignment horizontal="left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11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 indent="3"/>
    </xf>
    <xf numFmtId="0" fontId="15" fillId="0" borderId="0" xfId="0" applyFont="1" applyAlignment="1">
      <alignment horizontal="left" vertical="center" indent="9"/>
    </xf>
    <xf numFmtId="0" fontId="15" fillId="0" borderId="0" xfId="0" applyFont="1" applyAlignment="1">
      <alignment horizontal="left" vertical="center" indent="6"/>
    </xf>
    <xf numFmtId="0" fontId="11" fillId="0" borderId="0" xfId="0" applyFont="1"/>
    <xf numFmtId="0" fontId="8" fillId="6" borderId="21" xfId="0" applyFont="1" applyFill="1" applyBorder="1" applyAlignment="1">
      <alignment horizontal="center" vertical="center"/>
    </xf>
    <xf numFmtId="0" fontId="8" fillId="6" borderId="21" xfId="0" applyFont="1" applyFill="1" applyBorder="1"/>
    <xf numFmtId="0" fontId="8" fillId="6" borderId="27" xfId="0" applyFont="1" applyFill="1" applyBorder="1"/>
    <xf numFmtId="0" fontId="8" fillId="6" borderId="5" xfId="0" applyFont="1" applyFill="1" applyBorder="1" applyAlignment="1">
      <alignment horizontal="center" vertical="center"/>
    </xf>
    <xf numFmtId="0" fontId="0" fillId="7" borderId="0" xfId="0" applyFill="1"/>
    <xf numFmtId="0" fontId="2" fillId="7" borderId="0" xfId="0" applyFont="1" applyFill="1" applyAlignment="1">
      <alignment horizontal="left" indent="6"/>
    </xf>
    <xf numFmtId="0" fontId="1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0">
  <rv s="0">
    <v>0</v>
    <v>5</v>
    <v>Blacksmith9</v>
  </rv>
  <rv s="0">
    <v>1</v>
    <v>5</v>
    <v>Shiny Ore</v>
  </rv>
  <rv s="0">
    <v>2</v>
    <v>4</v>
    <v>Legend League</v>
  </rv>
  <rv s="0">
    <v>3</v>
    <v>4</v>
    <v>Town Hall14-1</v>
  </rv>
  <rv s="0">
    <v>4</v>
    <v>5</v>
    <v>Glowy Ore</v>
  </rv>
  <rv s="0">
    <v>5</v>
    <v>5</v>
    <v>Starry Ore</v>
  </rv>
  <rv s="0">
    <v>6</v>
    <v>4</v>
    <v>Rage Gem</v>
  </rv>
  <rv s="0">
    <v>7</v>
    <v>4</v>
    <v>Invisibility Vial</v>
  </rv>
  <rv s="0">
    <v>8</v>
    <v>4</v>
    <v>Healer Puppet</v>
  </rv>
  <rv s="0">
    <v>9</v>
    <v>4</v>
    <v>Rage Vial</v>
  </rv>
  <rv s="0">
    <v>10</v>
    <v>4</v>
    <v>Giant Gauntlet</v>
  </rv>
  <rv s="0">
    <v>11</v>
    <v>4</v>
    <v>Healing Tome</v>
  </rv>
  <rv s="0">
    <v>12</v>
    <v>4</v>
    <v>Vampstache</v>
  </rv>
  <rv s="0">
    <v>13</v>
    <v>4</v>
    <v>Eternal Tome</v>
  </rv>
  <rv s="0">
    <v>14</v>
    <v>4</v>
    <v>Earthquake Boots</v>
  </rv>
  <rv s="0">
    <v>15</v>
    <v>4</v>
    <v>Royal Gem</v>
  </rv>
  <rv s="0">
    <v>16</v>
    <v>4</v>
    <v>Seeking Shield</v>
  </rv>
  <rv s="0">
    <v>17</v>
    <v>4</v>
    <v>Giant Arrow</v>
  </rv>
  <rv s="0">
    <v>18</v>
    <v>4</v>
    <v>Archer Puppet</v>
  </rv>
  <rv s="0">
    <v>19</v>
    <v>4</v>
    <v>Barbarian Puppet</v>
  </rv>
  <rv s="0">
    <v>20</v>
    <v>4</v>
    <v>Life Gem</v>
  </rv>
  <rv s="0">
    <v>19</v>
    <v>5</v>
    <v>Barbarian Puppet</v>
  </rv>
  <rv s="0">
    <v>9</v>
    <v>5</v>
    <v>Rage Vial</v>
  </rv>
  <rv s="0">
    <v>14</v>
    <v>5</v>
    <v>Earthquake Boots</v>
  </rv>
  <rv s="0">
    <v>12</v>
    <v>5</v>
    <v>Vampstache</v>
  </rv>
  <rv s="0">
    <v>10</v>
    <v>5</v>
    <v>Giant Gauntlet</v>
  </rv>
  <rv s="0">
    <v>18</v>
    <v>5</v>
    <v>Archer Puppet</v>
  </rv>
  <rv s="0">
    <v>7</v>
    <v>5</v>
    <v>Invisibility Vial</v>
  </rv>
  <rv s="0">
    <v>17</v>
    <v>5</v>
    <v>Giant Arrow</v>
  </rv>
  <rv s="0">
    <v>8</v>
    <v>5</v>
    <v>Healer Puppet</v>
  </rv>
  <rv s="0">
    <v>13</v>
    <v>5</v>
    <v>Eternal Tome</v>
  </rv>
  <rv s="0">
    <v>20</v>
    <v>5</v>
    <v>Life Gem</v>
  </rv>
  <rv s="0">
    <v>6</v>
    <v>5</v>
    <v>Rage Gem</v>
  </rv>
  <rv s="0">
    <v>11</v>
    <v>5</v>
    <v>Healing Tome</v>
  </rv>
  <rv s="0">
    <v>15</v>
    <v>5</v>
    <v>Royal Gem</v>
  </rv>
  <rv s="0">
    <v>16</v>
    <v>5</v>
    <v>Seeking Shield</v>
  </rv>
  <rv s="0">
    <v>21</v>
    <v>5</v>
    <v>Bronze League</v>
  </rv>
  <rv s="0">
    <v>22</v>
    <v>5</v>
    <v>Silver League</v>
  </rv>
  <rv s="0">
    <v>23</v>
    <v>5</v>
    <v>Gold League</v>
  </rv>
  <rv s="0">
    <v>24</v>
    <v>5</v>
    <v>Crystal League</v>
  </rv>
  <rv s="0">
    <v>25</v>
    <v>5</v>
    <v>Master League</v>
  </rv>
  <rv s="0">
    <v>26</v>
    <v>5</v>
    <v>Champion League</v>
  </rv>
  <rv s="0">
    <v>27</v>
    <v>5</v>
    <v>Titan League</v>
  </rv>
  <rv s="0">
    <v>2</v>
    <v>5</v>
    <v>Legend League</v>
  </rv>
  <rv s="0">
    <v>28</v>
    <v>5</v>
    <v>Town Hall1</v>
  </rv>
  <rv s="0">
    <v>29</v>
    <v>5</v>
    <v>Town Hall2</v>
  </rv>
  <rv s="0">
    <v>30</v>
    <v>5</v>
    <v>Town Hall3</v>
  </rv>
  <rv s="0">
    <v>31</v>
    <v>5</v>
    <v>Town Hall4</v>
  </rv>
  <rv s="0">
    <v>32</v>
    <v>5</v>
    <v>Town Hall5</v>
  </rv>
  <rv s="0">
    <v>33</v>
    <v>5</v>
    <v>Town Hall6</v>
  </rv>
  <rv s="0">
    <v>34</v>
    <v>5</v>
    <v>Town Hall7</v>
  </rv>
  <rv s="0">
    <v>35</v>
    <v>5</v>
    <v>Town Hall8</v>
  </rv>
  <rv s="0">
    <v>36</v>
    <v>5</v>
    <v>Town Hall9</v>
  </rv>
  <rv s="0">
    <v>37</v>
    <v>5</v>
    <v>Town Hall10</v>
  </rv>
  <rv s="0">
    <v>38</v>
    <v>5</v>
    <v>Town Hall11</v>
  </rv>
  <rv s="0">
    <v>39</v>
    <v>5</v>
    <v>Town Hall12-1</v>
  </rv>
  <rv s="0">
    <v>40</v>
    <v>5</v>
    <v>Town Hall13-1</v>
  </rv>
  <rv s="0">
    <v>3</v>
    <v>5</v>
    <v>Town Hall14-1</v>
  </rv>
  <rv s="0">
    <v>41</v>
    <v>5</v>
    <v>Town Hall15-1</v>
  </rv>
  <rv s="0">
    <v>42</v>
    <v>5</v>
    <v>Town Hall16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CB375A-FD50-4D02-8DCF-2F08393E1388}" name="Equipment_List6" displayName="Equipment_List6" ref="B5:E20" totalsRowShown="0" headerRowDxfId="35" dataDxfId="33" headerRowBorderDxfId="34" tableBorderDxfId="32" totalsRowBorderDxfId="31">
  <autoFilter ref="B5:E20" xr:uid="{E8CB375A-FD50-4D02-8DCF-2F08393E1388}">
    <filterColumn colId="0" hiddenButton="1"/>
    <filterColumn colId="1" hiddenButton="1"/>
    <filterColumn colId="2" hiddenButton="1"/>
    <filterColumn colId="3" hiddenButton="1"/>
  </autoFilter>
  <tableColumns count="4">
    <tableColumn id="6" xr3:uid="{76B520A5-2385-436A-9806-19F3D9548D93}" name="Index Number" dataDxfId="30">
      <calculatedColumnFormula>INDEX('Data and Lookup'!$B$25:$B$26,MATCH(Equipment_List6[[#This Row],[Rarity]],'Data and Lookup'!$C$25:$C$26,0))</calculatedColumnFormula>
    </tableColumn>
    <tableColumn id="1" xr3:uid="{5D6A6CC5-7C64-4783-BABF-F91C497F9BCB}" name="Equipment Name" dataDxfId="29"/>
    <tableColumn id="2" xr3:uid="{509C323A-2017-46A5-A58E-E48187CC3C7A}" name="Max Level" dataDxfId="28"/>
    <tableColumn id="3" xr3:uid="{5321DB34-0568-4268-9218-6F017942DE08}" name="Rarity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761F18-0808-450C-8AF4-46BA10476387}" name="Costs_Epic" displayName="Costs_Epic" ref="H5:K32" totalsRowShown="0" headerRowDxfId="26" headerRowBorderDxfId="25" tableBorderDxfId="24" totalsRowBorderDxfId="23">
  <autoFilter ref="H5:K32" xr:uid="{0241023B-7C33-4CCA-BAC1-157BACA715FE}"/>
  <tableColumns count="4">
    <tableColumn id="1" xr3:uid="{E689AA5E-8BF3-4242-8072-F026C68C74F2}" name="Level" dataDxfId="22"/>
    <tableColumn id="2" xr3:uid="{2EEAA122-F034-4D69-824C-63335A9D8737}" name="Shiny" dataDxfId="21"/>
    <tableColumn id="3" xr3:uid="{EF73DD3E-718B-4F63-B3BD-791748B6ECFA}" name="Glowy" dataDxfId="20"/>
    <tableColumn id="4" xr3:uid="{946CF730-E655-4457-8ADE-E20959F61CD3}" name="Starry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57AEF2-711A-44BE-84CD-D99F37635D4E}" name="Costs_Common" displayName="Costs_Common" ref="N5:Q23" totalsRowShown="0" headerRowDxfId="18" headerRowBorderDxfId="17" tableBorderDxfId="16" totalsRowBorderDxfId="15">
  <autoFilter ref="N5:Q23" xr:uid="{6AE2C023-518C-416D-A9D0-71F8DB257396}"/>
  <tableColumns count="4">
    <tableColumn id="1" xr3:uid="{6A457C11-D6AB-43D3-90BD-630AF564B632}" name="Level" dataDxfId="14"/>
    <tableColumn id="2" xr3:uid="{0AE4C02D-AD53-4026-98D1-F02BB1F519E7}" name="Shiny" dataDxfId="13"/>
    <tableColumn id="3" xr3:uid="{21082A41-AD96-4414-8FD6-10E14A196525}" name="Glowy" dataDxfId="12"/>
    <tableColumn id="4" xr3:uid="{DD1CF5D4-9546-4FAF-AC0D-812D10225CBD}" name="Star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F23814-FBF0-4BE0-98CA-0DBE7D8DDCAF}" name="Star_Bonus" displayName="Star_Bonus" ref="B36:D58" totalsRowShown="0">
  <autoFilter ref="B36:D58" xr:uid="{A3F23814-FBF0-4BE0-98CA-0DBE7D8DDCAF}"/>
  <tableColumns count="3">
    <tableColumn id="1" xr3:uid="{C1E7A2CA-B570-4A02-B58C-BBE1F3720B6D}" name="League"/>
    <tableColumn id="2" xr3:uid="{713E0FEE-F17A-4A0F-AB16-A8BF6D53399C}" name="Shiny Ore Reward" dataDxfId="11"/>
    <tableColumn id="3" xr3:uid="{D1B07C77-E68B-4905-8161-00F28C9A2BC1}" name="Glowy Ore Reward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F44CB5-C919-4B51-9514-0C241D86F590}" name="Clan_War" displayName="Clan_War" ref="B61:E77" totalsRowShown="0" headerRowDxfId="9" dataDxfId="8">
  <autoFilter ref="B61:E77" xr:uid="{E4F44CB5-C919-4B51-9514-0C241D86F590}"/>
  <tableColumns count="4">
    <tableColumn id="1" xr3:uid="{1AA9F95C-B686-40A3-A2BF-3CB79CB7AF3C}" name="Town Hall Level" dataDxfId="7"/>
    <tableColumn id="2" xr3:uid="{F74D3114-8AA4-4C1A-BD97-B5B5F8305AFD}" name="Max Available Shiny Ore" dataDxfId="6"/>
    <tableColumn id="3" xr3:uid="{5675254F-6A95-48DE-BE16-5284745E5C88}" name="Max Available Glowy Ore" dataDxfId="5"/>
    <tableColumn id="4" xr3:uid="{6C8C3A3E-2F67-4645-BD02-54D7AF20EC11}" name="Max Available Starry Ore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9148C5C-B283-401D-94EB-8DF89E22DF24}" name="Division_Factor" displayName="Division_Factor" ref="B79:C84" totalsRowShown="0" headerRowDxfId="3">
  <autoFilter ref="B79:C84" xr:uid="{89148C5C-B283-401D-94EB-8DF89E22DF24}"/>
  <tableColumns count="2">
    <tableColumn id="1" xr3:uid="{D2A6E66E-AA71-49D2-8BCC-8EEF72A40E1F}" name="War Frequency" dataDxfId="2"/>
    <tableColumn id="2" xr3:uid="{EC2DB069-655B-435E-BB44-6D4D00EDB76B}" name="Division Fact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9F81-7DB7-4064-9D82-F5AFF071BC75}">
  <dimension ref="B1:C5"/>
  <sheetViews>
    <sheetView workbookViewId="0">
      <selection activeCell="B6" sqref="B6"/>
    </sheetView>
  </sheetViews>
  <sheetFormatPr defaultRowHeight="14.4" x14ac:dyDescent="0.3"/>
  <cols>
    <col min="1" max="1" width="1.77734375" customWidth="1"/>
  </cols>
  <sheetData>
    <row r="1" spans="2:3" ht="6" customHeight="1" x14ac:dyDescent="0.3"/>
    <row r="2" spans="2:3" x14ac:dyDescent="0.3">
      <c r="B2" t="s">
        <v>45</v>
      </c>
    </row>
    <row r="3" spans="2:3" x14ac:dyDescent="0.3">
      <c r="B3" t="s">
        <v>44</v>
      </c>
    </row>
    <row r="4" spans="2:3" x14ac:dyDescent="0.3">
      <c r="C4" t="s">
        <v>46</v>
      </c>
    </row>
    <row r="5" spans="2:3" x14ac:dyDescent="0.3">
      <c r="C5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0BE-7832-4350-B2F0-53A3B898A75E}">
  <dimension ref="A1:W74"/>
  <sheetViews>
    <sheetView showGridLines="0" tabSelected="1" topLeftCell="A3" zoomScale="85" zoomScaleNormal="85" workbookViewId="0">
      <selection activeCell="E15" sqref="E15:E16"/>
    </sheetView>
  </sheetViews>
  <sheetFormatPr defaultRowHeight="14.4" x14ac:dyDescent="0.3"/>
  <cols>
    <col min="1" max="1" width="2.6640625" customWidth="1"/>
    <col min="2" max="2" width="17.88671875" bestFit="1" customWidth="1"/>
    <col min="3" max="3" width="4.33203125" customWidth="1"/>
    <col min="4" max="6" width="19.5546875" customWidth="1"/>
    <col min="7" max="8" width="19.6640625" customWidth="1"/>
    <col min="9" max="9" width="1.6640625" customWidth="1"/>
    <col min="10" max="10" width="2.44140625" style="66" customWidth="1"/>
    <col min="11" max="11" width="1.77734375" customWidth="1"/>
    <col min="12" max="12" width="19.6640625" customWidth="1"/>
    <col min="13" max="14" width="10.33203125" customWidth="1"/>
    <col min="15" max="15" width="3" customWidth="1"/>
    <col min="16" max="16" width="8.88671875" style="30"/>
    <col min="17" max="17" width="27.21875" bestFit="1" customWidth="1"/>
    <col min="18" max="18" width="10.5546875" bestFit="1" customWidth="1"/>
  </cols>
  <sheetData>
    <row r="1" spans="1:23" x14ac:dyDescent="0.3">
      <c r="A1" s="66"/>
      <c r="B1" s="66"/>
      <c r="C1" s="66"/>
      <c r="D1" s="66"/>
      <c r="E1" s="66"/>
      <c r="F1" s="66"/>
      <c r="G1" s="66"/>
      <c r="H1" s="66"/>
      <c r="I1" s="66"/>
    </row>
    <row r="2" spans="1:23" x14ac:dyDescent="0.3">
      <c r="A2" s="66"/>
      <c r="B2" s="89" t="s">
        <v>119</v>
      </c>
      <c r="C2" s="89"/>
      <c r="D2" s="89"/>
      <c r="E2" s="89"/>
      <c r="F2" s="89"/>
      <c r="G2" s="89"/>
      <c r="H2" s="89"/>
      <c r="I2" s="89"/>
    </row>
    <row r="3" spans="1:23" ht="15" thickBot="1" x14ac:dyDescent="0.35">
      <c r="A3" s="66"/>
      <c r="B3" s="26"/>
      <c r="C3" s="26"/>
      <c r="D3" s="26"/>
      <c r="E3" s="26"/>
      <c r="F3" s="26"/>
      <c r="G3" s="26"/>
      <c r="H3" s="26"/>
      <c r="I3" s="26"/>
    </row>
    <row r="4" spans="1:23" x14ac:dyDescent="0.3">
      <c r="A4" s="66"/>
      <c r="B4" s="100" t="s">
        <v>92</v>
      </c>
      <c r="C4" s="101"/>
      <c r="D4" s="101"/>
      <c r="E4" s="102"/>
      <c r="G4" s="94" t="s">
        <v>95</v>
      </c>
      <c r="H4" s="94" t="s">
        <v>93</v>
      </c>
      <c r="I4" s="45"/>
      <c r="J4" s="67"/>
      <c r="K4" s="45"/>
      <c r="L4" s="96" t="s">
        <v>100</v>
      </c>
      <c r="M4" s="96"/>
      <c r="N4" s="97" t="e" vm="1">
        <v>#VALUE!</v>
      </c>
      <c r="O4" s="26"/>
    </row>
    <row r="5" spans="1:23" ht="14.4" customHeight="1" thickBot="1" x14ac:dyDescent="0.35">
      <c r="A5" s="66"/>
      <c r="B5" s="103"/>
      <c r="C5" s="104"/>
      <c r="D5" s="104"/>
      <c r="E5" s="105"/>
      <c r="G5" s="95"/>
      <c r="H5" s="95"/>
      <c r="I5" s="45"/>
      <c r="J5" s="67"/>
      <c r="K5" s="45"/>
      <c r="L5" s="96"/>
      <c r="M5" s="96"/>
      <c r="N5" s="97"/>
      <c r="O5" s="26"/>
      <c r="Q5" s="64" t="s">
        <v>98</v>
      </c>
    </row>
    <row r="6" spans="1:23" ht="14.4" customHeight="1" thickBot="1" x14ac:dyDescent="0.35">
      <c r="A6" s="66"/>
      <c r="B6" s="103"/>
      <c r="C6" s="104"/>
      <c r="D6" s="104"/>
      <c r="E6" s="105"/>
      <c r="G6" s="82" t="s">
        <v>73</v>
      </c>
      <c r="H6" s="82">
        <v>14</v>
      </c>
      <c r="I6" s="45"/>
      <c r="J6" s="67"/>
      <c r="K6" s="45"/>
      <c r="L6" s="96"/>
      <c r="M6" s="96"/>
      <c r="O6" s="26"/>
      <c r="Q6" t="s">
        <v>30</v>
      </c>
      <c r="R6">
        <f>INDEX(Equipment_List6[Index Number],MATCH(Planner!D15,Equipment_List6[Equipment Name],0))</f>
        <v>2</v>
      </c>
      <c r="S6">
        <f>INDEX(Equipment_List6[Index Number],MATCH(Planner!E15,Equipment_List6[Equipment Name],0))</f>
        <v>2</v>
      </c>
      <c r="T6">
        <f>INDEX(Equipment_List6[Index Number],MATCH(Planner!F15,Equipment_List6[Equipment Name],0))</f>
        <v>2</v>
      </c>
      <c r="U6">
        <f>INDEX(Equipment_List6[Index Number],MATCH(Planner!G15,Equipment_List6[Equipment Name],0))</f>
        <v>2</v>
      </c>
      <c r="V6">
        <f>INDEX(Equipment_List6[Index Number],MATCH(Planner!H15,Equipment_List6[Equipment Name],0))</f>
        <v>2</v>
      </c>
    </row>
    <row r="7" spans="1:23" ht="15" customHeight="1" thickBot="1" x14ac:dyDescent="0.35">
      <c r="A7" s="66"/>
      <c r="B7" s="103"/>
      <c r="C7" s="104"/>
      <c r="D7" s="104"/>
      <c r="E7" s="105"/>
      <c r="L7" s="45" t="s">
        <v>78</v>
      </c>
      <c r="M7" s="83">
        <v>2326</v>
      </c>
      <c r="N7" s="45" t="e" vm="2">
        <v>#VALUE!</v>
      </c>
      <c r="Q7" t="s">
        <v>96</v>
      </c>
      <c r="R7">
        <f>INDEX(Division_Factor[Division Factor],MATCH(Planner!L15,Division_Factor[War Frequency],0))</f>
        <v>2</v>
      </c>
    </row>
    <row r="8" spans="1:23" ht="15" customHeight="1" thickBot="1" x14ac:dyDescent="0.35">
      <c r="A8" s="66"/>
      <c r="B8" s="103"/>
      <c r="C8" s="104"/>
      <c r="D8" s="104"/>
      <c r="E8" s="105"/>
      <c r="G8" s="97" t="e" vm="3">
        <f>INDEX('Data and Lookup'!E37:E58,MATCH(Planner!G6,'Data and Lookup'!B37:B58,0))</f>
        <v>#VALUE!</v>
      </c>
      <c r="H8" s="97" t="e" vm="4">
        <f>INDEX('Data and Lookup'!F62:F77,MATCH(Planner!H6,'Data and Lookup'!B62:B77,0))</f>
        <v>#VALUE!</v>
      </c>
      <c r="I8" s="26"/>
      <c r="J8" s="68"/>
      <c r="K8" s="26"/>
      <c r="L8" s="26" t="s">
        <v>79</v>
      </c>
      <c r="M8" s="83">
        <v>120</v>
      </c>
      <c r="N8" s="26" t="e" vm="5">
        <v>#VALUE!</v>
      </c>
      <c r="Q8" t="s">
        <v>97</v>
      </c>
      <c r="R8" s="45" t="s">
        <v>78</v>
      </c>
      <c r="S8">
        <f t="shared" ref="S8:W10" ca="1" si="0">IFERROR(D20/$F49,"")</f>
        <v>9.101657458563535</v>
      </c>
      <c r="T8" t="str">
        <f t="shared" ca="1" si="0"/>
        <v/>
      </c>
      <c r="U8">
        <f t="shared" ca="1" si="0"/>
        <v>8.6596685082872931</v>
      </c>
      <c r="V8">
        <f t="shared" ca="1" si="0"/>
        <v>3.0243093922651934</v>
      </c>
      <c r="W8">
        <f t="shared" ca="1" si="0"/>
        <v>3.0243093922651934</v>
      </c>
    </row>
    <row r="9" spans="1:23" ht="15" customHeight="1" thickBot="1" x14ac:dyDescent="0.35">
      <c r="A9" s="66"/>
      <c r="B9" s="106"/>
      <c r="C9" s="107"/>
      <c r="D9" s="107"/>
      <c r="E9" s="108"/>
      <c r="G9" s="97"/>
      <c r="H9" s="97"/>
      <c r="I9" s="26"/>
      <c r="J9" s="68"/>
      <c r="K9" s="26"/>
      <c r="L9" s="26" t="s">
        <v>80</v>
      </c>
      <c r="M9" s="84">
        <v>14</v>
      </c>
      <c r="N9" s="26" t="e" vm="6">
        <v>#VALUE!</v>
      </c>
      <c r="R9" s="45" t="s">
        <v>79</v>
      </c>
      <c r="S9">
        <f t="shared" ca="1" si="0"/>
        <v>17.011494252873565</v>
      </c>
      <c r="T9" t="str">
        <f t="shared" ca="1" si="0"/>
        <v/>
      </c>
      <c r="U9">
        <f t="shared" ca="1" si="0"/>
        <v>10.114942528735632</v>
      </c>
      <c r="V9">
        <f t="shared" ca="1" si="0"/>
        <v>5.5172413793103452</v>
      </c>
      <c r="W9">
        <f t="shared" ca="1" si="0"/>
        <v>5.5172413793103452</v>
      </c>
    </row>
    <row r="10" spans="1:23" x14ac:dyDescent="0.3">
      <c r="A10" s="66"/>
      <c r="J10" s="68"/>
      <c r="K10" s="26"/>
      <c r="R10" s="45" t="s">
        <v>80</v>
      </c>
      <c r="S10">
        <f t="shared" ca="1" si="0"/>
        <v>0</v>
      </c>
      <c r="T10" t="str">
        <f t="shared" ca="1" si="0"/>
        <v/>
      </c>
      <c r="U10">
        <f t="shared" ca="1" si="0"/>
        <v>0</v>
      </c>
      <c r="V10">
        <f t="shared" ca="1" si="0"/>
        <v>0</v>
      </c>
      <c r="W10">
        <f t="shared" ca="1" si="0"/>
        <v>0</v>
      </c>
    </row>
    <row r="11" spans="1:23" x14ac:dyDescent="0.3">
      <c r="A11" s="66"/>
      <c r="I11" s="63"/>
      <c r="J11" s="69"/>
      <c r="K11" s="63"/>
      <c r="M11" s="44"/>
    </row>
    <row r="12" spans="1:23" x14ac:dyDescent="0.3">
      <c r="A12" s="66"/>
      <c r="B12" s="29"/>
      <c r="C12" s="29"/>
      <c r="D12" s="99" t="e" vm="7">
        <f>INDEX('Data and Lookup'!$F$6:$F$20,MATCH(Planner!D15,'Data and Lookup'!$C$6:$C$20,0))</f>
        <v>#VALUE!</v>
      </c>
      <c r="E12" s="99" t="e" vm="8">
        <f>INDEX('Data and Lookup'!$F$6:$F$20,MATCH(Planner!E15,'Data and Lookup'!$C$6:$C$20,0))</f>
        <v>#VALUE!</v>
      </c>
      <c r="F12" s="99" t="e" vm="9">
        <f>INDEX('Data and Lookup'!$F$6:$F$20,MATCH(Planner!F15,'Data and Lookup'!$C$6:$C$20,0))</f>
        <v>#VALUE!</v>
      </c>
      <c r="G12" s="99" t="e" vm="10">
        <f>INDEX('Data and Lookup'!$F$6:$F$20,MATCH(Planner!G15,'Data and Lookup'!$C$6:$C$20,0))</f>
        <v>#VALUE!</v>
      </c>
      <c r="H12" s="99" t="e" vm="8">
        <f>INDEX('Data and Lookup'!$F$6:$F$20,MATCH(Planner!H15,'Data and Lookup'!$C$6:$C$20,0))</f>
        <v>#VALUE!</v>
      </c>
      <c r="I12" s="63"/>
      <c r="J12" s="69"/>
      <c r="K12" s="63"/>
      <c r="L12" s="94" t="s">
        <v>94</v>
      </c>
      <c r="M12" s="94"/>
      <c r="N12" s="94"/>
    </row>
    <row r="13" spans="1:23" x14ac:dyDescent="0.3">
      <c r="A13" s="66"/>
      <c r="B13" s="29"/>
      <c r="C13" s="29"/>
      <c r="D13" s="99"/>
      <c r="E13" s="99"/>
      <c r="F13" s="99"/>
      <c r="G13" s="99"/>
      <c r="H13" s="99"/>
      <c r="I13" s="63"/>
      <c r="J13" s="69"/>
      <c r="K13" s="63"/>
      <c r="L13" s="94"/>
      <c r="M13" s="94"/>
      <c r="N13" s="94"/>
    </row>
    <row r="14" spans="1:23" x14ac:dyDescent="0.3">
      <c r="A14" s="66"/>
      <c r="B14" s="29"/>
      <c r="C14" s="29"/>
      <c r="D14" s="99"/>
      <c r="E14" s="99"/>
      <c r="F14" s="99"/>
      <c r="G14" s="99"/>
      <c r="H14" s="99"/>
      <c r="I14" s="63"/>
      <c r="J14" s="69"/>
      <c r="K14" s="63"/>
      <c r="L14" s="98"/>
      <c r="M14" s="98"/>
      <c r="N14" s="98"/>
    </row>
    <row r="15" spans="1:23" ht="18" x14ac:dyDescent="0.3">
      <c r="A15" s="66"/>
      <c r="B15" s="45"/>
      <c r="C15" s="45"/>
      <c r="D15" s="109" t="s">
        <v>15</v>
      </c>
      <c r="E15" s="109" t="s">
        <v>19</v>
      </c>
      <c r="F15" s="109" t="s">
        <v>17</v>
      </c>
      <c r="G15" s="109" t="s">
        <v>23</v>
      </c>
      <c r="H15" s="109" t="s">
        <v>19</v>
      </c>
      <c r="I15" s="65"/>
      <c r="J15" s="67"/>
      <c r="K15" s="45"/>
      <c r="L15" s="110" t="s">
        <v>82</v>
      </c>
      <c r="M15" s="110"/>
      <c r="N15" s="110"/>
      <c r="Q15" t="s">
        <v>105</v>
      </c>
    </row>
    <row r="16" spans="1:23" ht="18" x14ac:dyDescent="0.3">
      <c r="A16" s="66"/>
      <c r="B16" s="45"/>
      <c r="C16" s="45"/>
      <c r="D16" s="109"/>
      <c r="E16" s="109"/>
      <c r="F16" s="109"/>
      <c r="G16" s="109"/>
      <c r="H16" s="109"/>
      <c r="I16" s="65"/>
      <c r="J16" s="67"/>
      <c r="K16" s="45"/>
      <c r="L16" s="110"/>
      <c r="M16" s="110"/>
      <c r="N16" s="110"/>
    </row>
    <row r="17" spans="1:15" x14ac:dyDescent="0.3">
      <c r="A17" s="66"/>
      <c r="B17" s="45" t="s">
        <v>90</v>
      </c>
      <c r="C17" s="45"/>
      <c r="D17" s="85">
        <v>10</v>
      </c>
      <c r="E17" s="85">
        <v>26</v>
      </c>
      <c r="F17" s="85">
        <v>9</v>
      </c>
      <c r="G17" s="85">
        <v>15</v>
      </c>
      <c r="H17" s="85">
        <v>15</v>
      </c>
      <c r="I17" s="45"/>
      <c r="J17" s="67"/>
      <c r="K17" s="45"/>
      <c r="L17" s="44"/>
      <c r="M17" s="44"/>
    </row>
    <row r="18" spans="1:15" x14ac:dyDescent="0.3">
      <c r="A18" s="66"/>
      <c r="B18" s="45" t="s">
        <v>91</v>
      </c>
      <c r="C18" s="45"/>
      <c r="D18" s="85">
        <v>18</v>
      </c>
      <c r="E18" s="85">
        <v>27</v>
      </c>
      <c r="F18" s="85">
        <v>17</v>
      </c>
      <c r="G18" s="85">
        <v>18</v>
      </c>
      <c r="H18" s="85">
        <v>18</v>
      </c>
      <c r="I18" s="45"/>
      <c r="J18" s="67"/>
      <c r="K18" s="45"/>
      <c r="L18" s="94" t="s">
        <v>99</v>
      </c>
      <c r="M18" s="94"/>
      <c r="N18" s="94"/>
    </row>
    <row r="19" spans="1:15" x14ac:dyDescent="0.3">
      <c r="A19" s="66"/>
      <c r="B19" s="45"/>
      <c r="C19" s="45"/>
      <c r="D19" s="45"/>
      <c r="E19" s="45"/>
      <c r="F19" s="45"/>
      <c r="G19" s="45"/>
      <c r="H19" s="45"/>
      <c r="I19" s="45"/>
      <c r="J19" s="67"/>
      <c r="K19" s="45"/>
      <c r="L19" s="98"/>
      <c r="M19" s="98"/>
      <c r="N19" s="98"/>
    </row>
    <row r="20" spans="1:15" x14ac:dyDescent="0.3">
      <c r="A20" s="66"/>
      <c r="B20" s="45" t="s">
        <v>2</v>
      </c>
      <c r="C20" s="45" t="e" vm="2">
        <v>#VALUE!</v>
      </c>
      <c r="D20" s="45">
        <f ca="1">IFERROR(MAX(IF((D$17&gt;D$18),0,IF((D$17=D$18),0,IF(('Data and Lookup'!U$23),"",CHOOSE(R$6,SUM(INDIRECT('Data and Lookup'!U$27)),SUM(INDIRECT('Data and Lookup'!U$38)))-$M7))),0),"Selected Level Invalid")</f>
        <v>16474</v>
      </c>
      <c r="E20" s="45" t="str">
        <f ca="1">IFERROR(MAX(IF((E$17&gt;E$18),0,IF((E$17=E$18),0,IF(('Data and Lookup'!V$23),"",CHOOSE(S$6,SUM(INDIRECT('Data and Lookup'!V$27)),SUM(INDIRECT('Data and Lookup'!V$38)))-$M7))),0),"Selected Level Invalid")</f>
        <v>Selected Level Invalid</v>
      </c>
      <c r="F20" s="45">
        <f ca="1">IFERROR(MAX(IF((F$17&gt;F$18),0,IF((F$17=F$18),0,IF(('Data and Lookup'!W$23),"",CHOOSE(T$6,SUM(INDIRECT('Data and Lookup'!W$27)),SUM(INDIRECT('Data and Lookup'!W$38)))-$M7))),0),"Selected Level Invalid")</f>
        <v>15674</v>
      </c>
      <c r="G20" s="45">
        <f ca="1">IFERROR(MAX(IF((G$17&gt;G$18),0,IF((G$17=G$18),0,IF(('Data and Lookup'!X$23),"",CHOOSE(U$6,SUM(INDIRECT('Data and Lookup'!X$27)),SUM(INDIRECT('Data and Lookup'!X$38)))-$M7))),0),"Selected Level Invalid")</f>
        <v>5474</v>
      </c>
      <c r="H20" s="45">
        <f ca="1">IFERROR(MAX(IF((H$17&gt;H$18),0,IF((H$17=H$18),0,IF(('Data and Lookup'!Y$23),"",CHOOSE(V$6,SUM(INDIRECT('Data and Lookup'!Y$27)),SUM(INDIRECT('Data and Lookup'!Y$38)))-$M7))),0),"Selected Level Invalid")</f>
        <v>5474</v>
      </c>
      <c r="I20" s="45"/>
      <c r="J20" s="67"/>
      <c r="K20" s="45"/>
      <c r="L20" s="92" t="s">
        <v>7</v>
      </c>
      <c r="M20" s="93" t="e" vm="11">
        <f>INDEX('Data and Lookup'!$F$6:$F$20,MATCH(Planner!L20,'Data and Lookup'!$C$6:$C$20,0))</f>
        <v>#VALUE!</v>
      </c>
      <c r="N20" s="93"/>
      <c r="O20" s="26"/>
    </row>
    <row r="21" spans="1:15" x14ac:dyDescent="0.3">
      <c r="A21" s="66"/>
      <c r="B21" s="45" t="s">
        <v>1</v>
      </c>
      <c r="C21" s="26" t="e" vm="5">
        <v>#VALUE!</v>
      </c>
      <c r="D21" s="45">
        <f ca="1">IFERROR(MAX(IF((D$17&gt;D$18),0,IF((D$17=D$18),0,IF(('Data and Lookup'!U$23),"",CHOOSE(R$6,SUM(INDIRECT('Data and Lookup'!U$30)),SUM(INDIRECT('Data and Lookup'!U$41)))-$M8))),0),"Selected Level Invalid")</f>
        <v>1480</v>
      </c>
      <c r="E21" s="45" t="str">
        <f ca="1">IFERROR(MAX(IF((E$17&gt;E$18),0,IF((E$17=E$18),0,IF(('Data and Lookup'!V$23),"",CHOOSE(S$6,SUM(INDIRECT('Data and Lookup'!V$30)),SUM(INDIRECT('Data and Lookup'!V$41)))-$M8))),0),"Selected Level Invalid")</f>
        <v>Selected Level Invalid</v>
      </c>
      <c r="F21" s="45">
        <f ca="1">IFERROR(MAX(IF((F$17&gt;F$18),0,IF((F$17=F$18),0,IF(('Data and Lookup'!W$23),"",CHOOSE(T$6,SUM(INDIRECT('Data and Lookup'!W$30)),SUM(INDIRECT('Data and Lookup'!W$41)))-$M8))),0),"Selected Level Invalid")</f>
        <v>880</v>
      </c>
      <c r="G21" s="45">
        <f ca="1">IFERROR(MAX(IF((G$17&gt;G$18),0,IF((G$17=G$18),0,IF(('Data and Lookup'!X$23),"",CHOOSE(U$6,SUM(INDIRECT('Data and Lookup'!X$30)),SUM(INDIRECT('Data and Lookup'!X$41)))-$M8))),0),"Selected Level Invalid")</f>
        <v>480</v>
      </c>
      <c r="H21" s="45">
        <f ca="1">IFERROR(MAX(IF((H$17&gt;H$18),0,IF((H$17=H$18),0,IF(('Data and Lookup'!Y$23),"",CHOOSE(V$6,SUM(INDIRECT('Data and Lookup'!Y$30)),SUM(INDIRECT('Data and Lookup'!Y$41)))-$M8))),0),"Selected Level Invalid")</f>
        <v>480</v>
      </c>
      <c r="I21" s="45"/>
      <c r="J21" s="67"/>
      <c r="K21" s="45"/>
      <c r="L21" s="92"/>
      <c r="M21" s="93"/>
      <c r="N21" s="93"/>
      <c r="O21" s="26"/>
    </row>
    <row r="22" spans="1:15" x14ac:dyDescent="0.3">
      <c r="A22" s="66"/>
      <c r="B22" s="45" t="s">
        <v>0</v>
      </c>
      <c r="C22" s="26" t="e" vm="6">
        <v>#VALUE!</v>
      </c>
      <c r="D22" s="45">
        <f ca="1">IFERROR(MAX(IF((D$17&gt;D$18),0,IF((D$17=D$18),0,IF(('Data and Lookup'!U$23),"",CHOOSE(R$6,SUM(INDIRECT('Data and Lookup'!U$33)),SUM(INDIRECT('Data and Lookup'!U$44)))-$M9))),0),"Selected Level Invalid")</f>
        <v>0</v>
      </c>
      <c r="E22" s="45" t="str">
        <f ca="1">IFERROR(MAX(IF((E$17&gt;E$18),0,IF((E$17=E$18),0,IF(('Data and Lookup'!V$23),"",CHOOSE(S$6,SUM(INDIRECT('Data and Lookup'!V$33)),SUM(INDIRECT('Data and Lookup'!V$44)))-$M9))),0),"Selected Level Invalid")</f>
        <v>Selected Level Invalid</v>
      </c>
      <c r="F22" s="45">
        <f ca="1">IFERROR(MAX(IF((F$17&gt;F$18),0,IF((F$17=F$18),0,IF(('Data and Lookup'!W$23),"",CHOOSE(T$6,SUM(INDIRECT('Data and Lookup'!W$33)),SUM(INDIRECT('Data and Lookup'!W$44)))-$M9))),0),"Selected Level Invalid")</f>
        <v>0</v>
      </c>
      <c r="G22" s="45">
        <f ca="1">IFERROR(MAX(IF((G$17&gt;G$18),0,IF((G$17=G$18),0,IF(('Data and Lookup'!X$23),"",CHOOSE(U$6,SUM(INDIRECT('Data and Lookup'!X$33)),SUM(INDIRECT('Data and Lookup'!X$44)))-$M9))),0),"Selected Level Invalid")</f>
        <v>0</v>
      </c>
      <c r="H22" s="45">
        <f ca="1">IFERROR(MAX(IF((H$17&gt;H$18),0,IF((H$17=H$18),0,IF(('Data and Lookup'!Y$23),"",CHOOSE(V$6,SUM(INDIRECT('Data and Lookup'!Y$33)),SUM(INDIRECT('Data and Lookup'!Y$44)))-$M9))),0),"Selected Level Invalid")</f>
        <v>0</v>
      </c>
      <c r="I22" s="45"/>
      <c r="J22" s="67"/>
      <c r="K22" s="45"/>
      <c r="L22" s="92" t="s">
        <v>14</v>
      </c>
      <c r="M22" s="93" t="e" vm="12">
        <f>INDEX('Data and Lookup'!$F$6:$F$20,MATCH(Planner!L22,'Data and Lookup'!$C$6:$C$20,0))</f>
        <v>#VALUE!</v>
      </c>
      <c r="N22" s="93"/>
      <c r="O22" s="26"/>
    </row>
    <row r="23" spans="1:15" x14ac:dyDescent="0.3">
      <c r="A23" s="66"/>
      <c r="B23" s="61"/>
      <c r="C23" s="61"/>
      <c r="E23" s="45"/>
      <c r="F23" s="45"/>
      <c r="G23" s="45"/>
      <c r="H23" s="45"/>
      <c r="I23" s="45"/>
      <c r="J23" s="67"/>
      <c r="K23" s="45"/>
      <c r="L23" s="92"/>
      <c r="M23" s="93"/>
      <c r="N23" s="93"/>
      <c r="O23" s="26"/>
    </row>
    <row r="24" spans="1:15" ht="14.4" customHeight="1" x14ac:dyDescent="0.3">
      <c r="A24" s="66"/>
      <c r="B24" s="90" t="s">
        <v>120</v>
      </c>
      <c r="C24" s="90"/>
      <c r="D24" s="91">
        <f ca="1">MAX(S8:S10)</f>
        <v>17.011494252873565</v>
      </c>
      <c r="E24" s="91">
        <f ca="1">IFERROR(MAX(T8:T10),"Invalid Inputs")</f>
        <v>0</v>
      </c>
      <c r="F24" s="91">
        <f ca="1">IFERROR(MAX(U8:U10),"Invalid Inputs")</f>
        <v>10.114942528735632</v>
      </c>
      <c r="G24" s="91">
        <f ca="1">IFERROR(MAX(V8:V10),"Invalid Inputs")</f>
        <v>5.5172413793103452</v>
      </c>
      <c r="H24" s="91">
        <f ca="1">IFERROR(MAX(W8:W10),"Invalid Inputs")</f>
        <v>5.5172413793103452</v>
      </c>
      <c r="I24" s="59"/>
      <c r="J24" s="70"/>
      <c r="K24" s="59"/>
      <c r="L24" s="92" t="s">
        <v>21</v>
      </c>
      <c r="M24" s="93" t="e" vm="13">
        <f>INDEX('Data and Lookup'!$F$6:$F$20,MATCH(Planner!L24,'Data and Lookup'!$C$6:$C$20,0))</f>
        <v>#VALUE!</v>
      </c>
      <c r="N24" s="93"/>
      <c r="O24" s="26"/>
    </row>
    <row r="25" spans="1:15" ht="14.4" customHeight="1" x14ac:dyDescent="0.3">
      <c r="A25" s="66"/>
      <c r="B25" s="90"/>
      <c r="C25" s="90"/>
      <c r="D25" s="91"/>
      <c r="E25" s="91"/>
      <c r="F25" s="91"/>
      <c r="G25" s="91"/>
      <c r="H25" s="91"/>
      <c r="I25" s="59"/>
      <c r="J25" s="67"/>
      <c r="K25" s="45"/>
      <c r="L25" s="92"/>
      <c r="M25" s="93"/>
      <c r="N25" s="93"/>
      <c r="O25" s="26"/>
    </row>
    <row r="26" spans="1:15" ht="14.4" customHeight="1" x14ac:dyDescent="0.3">
      <c r="A26" s="66"/>
      <c r="B26" s="90"/>
      <c r="C26" s="90"/>
      <c r="D26" s="91"/>
      <c r="E26" s="91"/>
      <c r="F26" s="91"/>
      <c r="G26" s="91"/>
      <c r="H26" s="91"/>
      <c r="L26" s="92" t="s">
        <v>23</v>
      </c>
      <c r="M26" s="93" t="e" vm="10">
        <f>INDEX('Data and Lookup'!$F$6:$F$20,MATCH(Planner!L26,'Data and Lookup'!$C$6:$C$20,0))</f>
        <v>#VALUE!</v>
      </c>
      <c r="N26" s="93"/>
      <c r="O26" s="26"/>
    </row>
    <row r="27" spans="1:15" x14ac:dyDescent="0.3">
      <c r="A27" s="66"/>
      <c r="B27" s="90"/>
      <c r="C27" s="90"/>
      <c r="D27" s="91"/>
      <c r="E27" s="91"/>
      <c r="F27" s="91"/>
      <c r="G27" s="91"/>
      <c r="H27" s="91"/>
      <c r="L27" s="92"/>
      <c r="M27" s="93"/>
      <c r="N27" s="93"/>
      <c r="O27" s="26"/>
    </row>
    <row r="28" spans="1:15" x14ac:dyDescent="0.3">
      <c r="A28" s="66"/>
      <c r="B28" s="66"/>
      <c r="C28" s="66"/>
      <c r="D28" s="66"/>
      <c r="E28" s="66"/>
      <c r="F28" s="66"/>
      <c r="G28" s="66"/>
      <c r="H28" s="66"/>
      <c r="I28" s="66"/>
      <c r="L28" s="92" t="s">
        <v>19</v>
      </c>
      <c r="M28" s="93" t="e" vm="8">
        <f>INDEX('Data and Lookup'!$F$6:$F$20,MATCH(Planner!L28,'Data and Lookup'!$C$6:$C$20,0))</f>
        <v>#VALUE!</v>
      </c>
      <c r="N28" s="93"/>
      <c r="O28" s="26"/>
    </row>
    <row r="29" spans="1:15" x14ac:dyDescent="0.3">
      <c r="J29"/>
      <c r="L29" s="92"/>
      <c r="M29" s="93"/>
      <c r="N29" s="93"/>
      <c r="O29" s="26"/>
    </row>
    <row r="30" spans="1:15" ht="21" x14ac:dyDescent="0.4">
      <c r="B30" s="81" t="s">
        <v>101</v>
      </c>
      <c r="G30" s="73" t="s">
        <v>103</v>
      </c>
      <c r="H30" s="74">
        <f ca="1">NOW()</f>
        <v>45291.721008796296</v>
      </c>
      <c r="I30" s="45"/>
      <c r="J30"/>
      <c r="K30" s="45"/>
      <c r="L30" s="92" t="s">
        <v>16</v>
      </c>
      <c r="M30" s="93" t="e" vm="14">
        <f>INDEX('Data and Lookup'!$F$6:$F$20,MATCH(Planner!L30,'Data and Lookup'!$C$6:$C$20,0))</f>
        <v>#VALUE!</v>
      </c>
      <c r="N30" s="93"/>
      <c r="O30" s="26"/>
    </row>
    <row r="31" spans="1:15" x14ac:dyDescent="0.3">
      <c r="B31" s="77" t="s">
        <v>106</v>
      </c>
      <c r="J31"/>
      <c r="L31" s="92"/>
      <c r="M31" s="93"/>
      <c r="N31" s="93"/>
      <c r="O31" s="26"/>
    </row>
    <row r="32" spans="1:15" x14ac:dyDescent="0.3">
      <c r="B32" s="78" t="s">
        <v>117</v>
      </c>
      <c r="F32" s="86"/>
      <c r="G32" s="86"/>
      <c r="H32" s="86"/>
      <c r="I32" s="86"/>
      <c r="J32" s="86"/>
      <c r="K32" s="86"/>
      <c r="L32" s="92" t="s">
        <v>22</v>
      </c>
      <c r="M32" s="93" t="e" vm="15">
        <f>INDEX('Data and Lookup'!$F$6:$F$20,MATCH(Planner!L32,'Data and Lookup'!$C$6:$C$20,0))</f>
        <v>#VALUE!</v>
      </c>
      <c r="N32" s="93"/>
      <c r="O32" s="26"/>
    </row>
    <row r="33" spans="2:15" x14ac:dyDescent="0.3">
      <c r="B33" s="87" t="s">
        <v>121</v>
      </c>
      <c r="C33" s="86"/>
      <c r="D33" s="86"/>
      <c r="E33" s="86"/>
      <c r="F33" s="86"/>
      <c r="J33"/>
      <c r="L33" s="92"/>
      <c r="M33" s="93"/>
      <c r="N33" s="93"/>
      <c r="O33" s="26"/>
    </row>
    <row r="34" spans="2:15" x14ac:dyDescent="0.3">
      <c r="B34" s="78" t="s">
        <v>114</v>
      </c>
      <c r="J34"/>
      <c r="L34" s="92" t="s">
        <v>13</v>
      </c>
      <c r="M34" s="93" t="e" vm="16">
        <f>INDEX('Data and Lookup'!$F$6:$F$20,MATCH(Planner!L34,'Data and Lookup'!$C$6:$C$20,0))</f>
        <v>#VALUE!</v>
      </c>
      <c r="N34" s="93"/>
      <c r="O34" s="26"/>
    </row>
    <row r="35" spans="2:15" x14ac:dyDescent="0.3">
      <c r="B35" s="79" t="s">
        <v>110</v>
      </c>
      <c r="J35"/>
      <c r="L35" s="92"/>
      <c r="M35" s="93"/>
      <c r="N35" s="93"/>
      <c r="O35" s="26"/>
    </row>
    <row r="36" spans="2:15" x14ac:dyDescent="0.3">
      <c r="B36" s="79" t="s">
        <v>116</v>
      </c>
      <c r="J36"/>
      <c r="L36" s="92" t="s">
        <v>12</v>
      </c>
      <c r="M36" s="93" t="e" vm="17">
        <f>INDEX('Data and Lookup'!$F$6:$F$20,MATCH(Planner!L36,'Data and Lookup'!$C$6:$C$20,0))</f>
        <v>#VALUE!</v>
      </c>
      <c r="N36" s="93"/>
      <c r="O36" s="26"/>
    </row>
    <row r="37" spans="2:15" x14ac:dyDescent="0.3">
      <c r="B37" s="76" t="s">
        <v>115</v>
      </c>
      <c r="J37"/>
      <c r="L37" s="92"/>
      <c r="M37" s="93"/>
      <c r="N37" s="93"/>
      <c r="O37" s="26"/>
    </row>
    <row r="38" spans="2:15" x14ac:dyDescent="0.3">
      <c r="B38" s="79" t="s">
        <v>111</v>
      </c>
      <c r="J38"/>
      <c r="L38" s="92" t="s">
        <v>18</v>
      </c>
      <c r="M38" s="93" t="e" vm="18">
        <f>INDEX('Data and Lookup'!$F$6:$F$20,MATCH(Planner!L38,'Data and Lookup'!$C$6:$C$20,0))</f>
        <v>#VALUE!</v>
      </c>
      <c r="N38" s="93"/>
      <c r="O38" s="26"/>
    </row>
    <row r="39" spans="2:15" x14ac:dyDescent="0.3">
      <c r="B39" s="80" t="s">
        <v>107</v>
      </c>
      <c r="I39" s="45"/>
      <c r="J39"/>
      <c r="K39" s="45"/>
      <c r="L39" s="92"/>
      <c r="M39" s="93"/>
      <c r="N39" s="93"/>
      <c r="O39" s="26"/>
    </row>
    <row r="40" spans="2:15" x14ac:dyDescent="0.3">
      <c r="B40" s="75" t="s">
        <v>108</v>
      </c>
      <c r="I40" s="45"/>
      <c r="J40"/>
      <c r="K40" s="45"/>
      <c r="L40" s="92" t="s">
        <v>17</v>
      </c>
      <c r="M40" s="93" t="e" vm="9">
        <f>INDEX('Data and Lookup'!$F$6:$F$20,MATCH(Planner!L40,'Data and Lookup'!$C$6:$C$20,0))</f>
        <v>#VALUE!</v>
      </c>
      <c r="N40" s="93"/>
      <c r="O40" s="26"/>
    </row>
    <row r="41" spans="2:15" x14ac:dyDescent="0.3">
      <c r="B41" s="78" t="s">
        <v>112</v>
      </c>
      <c r="I41" s="45"/>
      <c r="J41"/>
      <c r="K41" s="45"/>
      <c r="L41" s="92"/>
      <c r="M41" s="93"/>
      <c r="N41" s="93"/>
      <c r="O41" s="26"/>
    </row>
    <row r="42" spans="2:15" x14ac:dyDescent="0.3">
      <c r="B42" s="75" t="s">
        <v>118</v>
      </c>
      <c r="J42"/>
      <c r="L42" s="92" t="s">
        <v>20</v>
      </c>
      <c r="M42" s="93" t="e" vm="19">
        <f>INDEX('Data and Lookup'!$F$6:$F$20,MATCH(Planner!L42,'Data and Lookup'!$C$6:$C$20,0))</f>
        <v>#VALUE!</v>
      </c>
      <c r="N42" s="93"/>
      <c r="O42" s="26"/>
    </row>
    <row r="43" spans="2:15" x14ac:dyDescent="0.3">
      <c r="J43"/>
      <c r="L43" s="92"/>
      <c r="M43" s="93"/>
      <c r="N43" s="93"/>
      <c r="O43" s="26"/>
    </row>
    <row r="44" spans="2:15" ht="14.4" customHeight="1" x14ac:dyDescent="0.3">
      <c r="B44" s="77" t="s">
        <v>109</v>
      </c>
      <c r="J44"/>
      <c r="L44" s="92" t="s">
        <v>5</v>
      </c>
      <c r="M44" s="93" t="e" vm="20">
        <f>INDEX('Data and Lookup'!$F$6:$F$20,MATCH(Planner!L44,'Data and Lookup'!$C$6:$C$20,0))</f>
        <v>#VALUE!</v>
      </c>
      <c r="N44" s="93"/>
      <c r="O44" s="26"/>
    </row>
    <row r="45" spans="2:15" ht="14.4" customHeight="1" x14ac:dyDescent="0.3">
      <c r="J45"/>
      <c r="L45" s="92"/>
      <c r="M45" s="93"/>
      <c r="N45" s="93"/>
      <c r="O45" s="26"/>
    </row>
    <row r="46" spans="2:15" ht="15.6" x14ac:dyDescent="0.3">
      <c r="B46" s="62" t="s">
        <v>104</v>
      </c>
      <c r="D46" s="88" t="s">
        <v>102</v>
      </c>
      <c r="E46" s="88"/>
      <c r="F46" s="88"/>
      <c r="J46"/>
      <c r="L46" s="92" t="s">
        <v>6</v>
      </c>
      <c r="M46" s="93" t="e" vm="21">
        <f>INDEX('Data and Lookup'!$F$6:$F$20,MATCH(Planner!L46,'Data and Lookup'!$C$6:$C$20,0))</f>
        <v>#VALUE!</v>
      </c>
      <c r="N46" s="93"/>
      <c r="O46" s="26"/>
    </row>
    <row r="47" spans="2:15" ht="15.6" x14ac:dyDescent="0.3">
      <c r="B47" s="62"/>
      <c r="D47" s="71"/>
      <c r="E47" s="71"/>
      <c r="F47" s="71"/>
      <c r="J47"/>
      <c r="L47" s="92"/>
      <c r="M47" s="93"/>
      <c r="N47" s="93"/>
      <c r="O47" s="26"/>
    </row>
    <row r="48" spans="2:15" x14ac:dyDescent="0.3">
      <c r="C48" s="45"/>
      <c r="D48" s="45" t="s">
        <v>48</v>
      </c>
      <c r="E48" s="45" t="s">
        <v>113</v>
      </c>
      <c r="F48" s="45" t="s">
        <v>88</v>
      </c>
      <c r="J48"/>
      <c r="L48" s="92" t="s">
        <v>15</v>
      </c>
      <c r="M48" s="93" t="e" vm="7">
        <f>INDEX('Data and Lookup'!$F$6:$F$20,MATCH(Planner!L48,'Data and Lookup'!$C$6:$C$20,0))</f>
        <v>#VALUE!</v>
      </c>
      <c r="N48" s="93"/>
      <c r="O48" s="26"/>
    </row>
    <row r="49" spans="2:15" x14ac:dyDescent="0.3">
      <c r="B49" s="45" t="s">
        <v>78</v>
      </c>
      <c r="C49" s="45"/>
      <c r="D49" s="45">
        <f>INDEX(Star_Bonus[Shiny Ore Reward],MATCH(Planner!G6,Star_Bonus[League],0))</f>
        <v>1000</v>
      </c>
      <c r="E49" s="59">
        <f>IFERROR((INDEX(Clan_War[Max Available Shiny Ore],MATCH(Planner!$H$6,Clan_War[Town Hall Level],0))*2)/$R$7,"N/A")</f>
        <v>810</v>
      </c>
      <c r="F49" s="57">
        <f>SUM(D49:E49)</f>
        <v>1810</v>
      </c>
      <c r="J49"/>
      <c r="L49" s="92"/>
      <c r="M49" s="93"/>
      <c r="N49" s="93"/>
      <c r="O49" s="26"/>
    </row>
    <row r="50" spans="2:15" x14ac:dyDescent="0.3">
      <c r="B50" s="45" t="s">
        <v>79</v>
      </c>
      <c r="C50" s="45"/>
      <c r="D50" s="45">
        <f>INDEX(Star_Bonus[Glowy Ore Reward],MATCH(Planner!G6,Star_Bonus[League],0))</f>
        <v>54</v>
      </c>
      <c r="E50" s="58">
        <f>IFERROR((INDEX(Clan_War[Max Available Glowy Ore],MATCH(Planner!$H$6,Clan_War[Town Hall Level],0))*2)/$R$7,"N/A")</f>
        <v>33</v>
      </c>
      <c r="F50" s="57">
        <f t="shared" ref="F50:F51" si="1">SUM(D50:E50)</f>
        <v>87</v>
      </c>
      <c r="J50"/>
    </row>
    <row r="51" spans="2:15" x14ac:dyDescent="0.3">
      <c r="B51" s="45" t="s">
        <v>80</v>
      </c>
      <c r="C51" s="45"/>
      <c r="D51" s="45"/>
      <c r="E51" s="58">
        <f>IFERROR((INDEX(Clan_War[Max Available Starry Ore],MATCH(Planner!$H$6,Clan_War[Town Hall Level],0))*2)/$R$7,"N/A")</f>
        <v>5</v>
      </c>
      <c r="F51" s="57">
        <f t="shared" si="1"/>
        <v>5</v>
      </c>
      <c r="J51"/>
    </row>
    <row r="52" spans="2:15" x14ac:dyDescent="0.3">
      <c r="H52" s="45"/>
      <c r="J52"/>
    </row>
    <row r="53" spans="2:15" x14ac:dyDescent="0.3">
      <c r="J53"/>
    </row>
    <row r="54" spans="2:15" x14ac:dyDescent="0.3">
      <c r="J54"/>
    </row>
    <row r="55" spans="2:15" x14ac:dyDescent="0.3">
      <c r="J55"/>
    </row>
    <row r="74" spans="2:2" x14ac:dyDescent="0.3">
      <c r="B74" s="72"/>
    </row>
  </sheetData>
  <mergeCells count="58">
    <mergeCell ref="D15:D16"/>
    <mergeCell ref="E15:E16"/>
    <mergeCell ref="F15:F16"/>
    <mergeCell ref="L26:L27"/>
    <mergeCell ref="L24:L25"/>
    <mergeCell ref="L22:L23"/>
    <mergeCell ref="L15:N16"/>
    <mergeCell ref="L12:N14"/>
    <mergeCell ref="M20:N21"/>
    <mergeCell ref="L34:L35"/>
    <mergeCell ref="L32:L33"/>
    <mergeCell ref="L30:L31"/>
    <mergeCell ref="L28:L29"/>
    <mergeCell ref="M22:N23"/>
    <mergeCell ref="M48:N49"/>
    <mergeCell ref="M30:N31"/>
    <mergeCell ref="M32:N33"/>
    <mergeCell ref="M34:N35"/>
    <mergeCell ref="M36:N37"/>
    <mergeCell ref="M38:N39"/>
    <mergeCell ref="M40:N41"/>
    <mergeCell ref="L36:L37"/>
    <mergeCell ref="L38:L39"/>
    <mergeCell ref="L40:L41"/>
    <mergeCell ref="L42:L43"/>
    <mergeCell ref="L44:L45"/>
    <mergeCell ref="L48:L49"/>
    <mergeCell ref="M42:N43"/>
    <mergeCell ref="M44:N45"/>
    <mergeCell ref="M46:N47"/>
    <mergeCell ref="H4:H5"/>
    <mergeCell ref="L4:M6"/>
    <mergeCell ref="N4:N5"/>
    <mergeCell ref="L18:N19"/>
    <mergeCell ref="H8:H9"/>
    <mergeCell ref="L46:L47"/>
    <mergeCell ref="M24:N25"/>
    <mergeCell ref="M26:N27"/>
    <mergeCell ref="M28:N29"/>
    <mergeCell ref="H12:H14"/>
    <mergeCell ref="L20:L21"/>
    <mergeCell ref="H15:H16"/>
    <mergeCell ref="D46:F46"/>
    <mergeCell ref="B2:I2"/>
    <mergeCell ref="B24:C27"/>
    <mergeCell ref="D24:D27"/>
    <mergeCell ref="E24:E27"/>
    <mergeCell ref="F24:F27"/>
    <mergeCell ref="G24:G27"/>
    <mergeCell ref="H24:H27"/>
    <mergeCell ref="G8:G9"/>
    <mergeCell ref="D12:D14"/>
    <mergeCell ref="E12:E14"/>
    <mergeCell ref="F12:F14"/>
    <mergeCell ref="B4:E9"/>
    <mergeCell ref="G4:G5"/>
    <mergeCell ref="G12:G14"/>
    <mergeCell ref="G15:G16"/>
  </mergeCells>
  <conditionalFormatting sqref="L20 L22 L24 L26 L28 L30 L32 L34 L36 L38 L40 L42 L44 L46 L48">
    <cfRule type="duplicateValues" dxfId="0" priority="5"/>
  </conditionalFormatting>
  <dataValidations count="6">
    <dataValidation type="list" allowBlank="1" showInputMessage="1" showErrorMessage="1" sqref="D15 E15:K16 L20 L22 L24 L26 L28 L30 L32 L34 L36 L38 L40 L42 L44 L46 L48" xr:uid="{28E5428F-944B-458D-AC1B-51442F634F9C}">
      <formula1>Equipment_Name</formula1>
    </dataValidation>
    <dataValidation type="list" allowBlank="1" showInputMessage="1" showErrorMessage="1" sqref="G6" xr:uid="{C9332768-EA53-4DA8-99AF-D84CE883A14D}">
      <formula1>League</formula1>
    </dataValidation>
    <dataValidation type="list" allowBlank="1" showInputMessage="1" showErrorMessage="1" sqref="H6:K6" xr:uid="{B8CDD94B-245E-4340-A0CD-3401C231E092}">
      <formula1>Town_Hall</formula1>
    </dataValidation>
    <dataValidation type="list" allowBlank="1" showInputMessage="1" showErrorMessage="1" sqref="L15" xr:uid="{721411C2-15ED-43B1-BB2A-345F312DAE77}">
      <formula1>War_Frequency</formula1>
    </dataValidation>
    <dataValidation type="list" allowBlank="1" showInputMessage="1" showErrorMessage="1" sqref="I17:K17" xr:uid="{229B75B9-31E8-4FDC-8031-946C4FCBB3AA}">
      <formula1>CHOOSE(I$11,Epic_Levels,Common_Levels)</formula1>
    </dataValidation>
    <dataValidation type="list" allowBlank="1" showInputMessage="1" showErrorMessage="1" sqref="D17:H17" xr:uid="{7A2BDA41-AFE7-4851-916D-8CDF5FE9AE86}">
      <formula1>CHOOSE(R$6,Epic_Levels,Common_Levels)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0A0FB8A-CC70-490E-94F9-7EC44DFABB13}">
          <x14:formula1>
            <xm:f>IF('Data and Lookup'!W$24,'Data and Lookup'!$T$24,IF('Data and Lookup'!W$21,Epic_Max_Level,IF('Data and Lookup'!W$22,Common_Max_Level,IF(R$6=1,INDIRECT('Data and Lookup'!W$11),INDIRECT('Data and Lookup'!W$12)))))</xm:f>
          </x14:formula1>
          <xm:sqref>D19:H19</xm:sqref>
        </x14:dataValidation>
        <x14:dataValidation type="list" allowBlank="1" showInputMessage="1" showErrorMessage="1" xr:uid="{CAF5D6C7-271E-4833-ACDD-84D56301A151}">
          <x14:formula1>
            <xm:f>IF('Data and Lookup'!AB$24,'Data and Lookup'!$T$24,IF('Data and Lookup'!AB$21,Epic_Max_Level,IF('Data and Lookup'!AB$22,Common_Max_Level,IF(I$11=1,INDIRECT('Data and Lookup'!AB$11),INDIRECT('Data and Lookup'!AB$12)))))</xm:f>
          </x14:formula1>
          <xm:sqref>I18:K19</xm:sqref>
        </x14:dataValidation>
        <x14:dataValidation type="list" allowBlank="1" showInputMessage="1" showErrorMessage="1" xr:uid="{72CD676A-43B0-426A-8658-3C5921E59741}">
          <x14:formula1>
            <xm:f>IF('Data and Lookup'!U$24,'Data and Lookup'!$T$24,IF('Data and Lookup'!U$21,Epic_Max_Level,IF('Data and Lookup'!U$22,Common_Max_Level,CHOOSE(R$6,INDIRECT('Data and Lookup'!U$11),INDIRECT('Data and Lookup'!U$12)))))</xm:f>
          </x14:formula1>
          <xm:sqref>D18:H18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CD16-2D9C-4372-A1F7-1D3479B4B5A4}">
  <dimension ref="B1:Z84"/>
  <sheetViews>
    <sheetView topLeftCell="C1" workbookViewId="0">
      <selection activeCell="U12" sqref="U12"/>
    </sheetView>
  </sheetViews>
  <sheetFormatPr defaultRowHeight="14.4" x14ac:dyDescent="0.3"/>
  <cols>
    <col min="1" max="1" width="2" customWidth="1"/>
    <col min="2" max="2" width="15.5546875" customWidth="1"/>
    <col min="3" max="3" width="22.5546875" customWidth="1"/>
    <col min="4" max="4" width="23.109375" customWidth="1"/>
    <col min="5" max="5" width="23" customWidth="1"/>
    <col min="6" max="6" width="10.44140625" customWidth="1"/>
    <col min="7" max="7" width="2.21875" customWidth="1"/>
    <col min="12" max="13" width="2.33203125" customWidth="1"/>
    <col min="17" max="17" width="2.33203125" customWidth="1"/>
    <col min="18" max="18" width="8.88671875" style="30"/>
    <col min="19" max="19" width="2.77734375" customWidth="1"/>
    <col min="20" max="20" width="11.6640625" bestFit="1" customWidth="1"/>
    <col min="21" max="21" width="8.88671875" customWidth="1"/>
  </cols>
  <sheetData>
    <row r="1" spans="2:26" ht="6" customHeight="1" thickBot="1" x14ac:dyDescent="0.35"/>
    <row r="2" spans="2:26" x14ac:dyDescent="0.3">
      <c r="B2" s="111" t="s">
        <v>31</v>
      </c>
      <c r="C2" s="112"/>
      <c r="D2" s="112"/>
      <c r="E2" s="113"/>
    </row>
    <row r="3" spans="2:26" ht="15" thickBot="1" x14ac:dyDescent="0.35">
      <c r="B3" s="114"/>
      <c r="C3" s="115"/>
      <c r="D3" s="115"/>
      <c r="E3" s="116"/>
    </row>
    <row r="4" spans="2:26" x14ac:dyDescent="0.3">
      <c r="T4" t="s">
        <v>29</v>
      </c>
      <c r="U4">
        <f>Planner!R6</f>
        <v>2</v>
      </c>
      <c r="V4">
        <f>Planner!S6</f>
        <v>2</v>
      </c>
      <c r="W4">
        <f>Planner!T6</f>
        <v>2</v>
      </c>
      <c r="X4">
        <f>Planner!U6</f>
        <v>2</v>
      </c>
      <c r="Y4">
        <f>Planner!V6</f>
        <v>2</v>
      </c>
    </row>
    <row r="5" spans="2:26" ht="14.4" customHeight="1" x14ac:dyDescent="0.3">
      <c r="B5" s="22" t="s">
        <v>29</v>
      </c>
      <c r="C5" s="23" t="s">
        <v>28</v>
      </c>
      <c r="D5" s="24" t="s">
        <v>10</v>
      </c>
      <c r="E5" s="25" t="s">
        <v>11</v>
      </c>
      <c r="H5" s="21" t="s">
        <v>26</v>
      </c>
      <c r="I5" s="20" t="s">
        <v>25</v>
      </c>
      <c r="J5" s="20" t="s">
        <v>24</v>
      </c>
      <c r="K5" s="19" t="s">
        <v>27</v>
      </c>
      <c r="N5" s="18" t="s">
        <v>26</v>
      </c>
      <c r="O5" s="17" t="s">
        <v>25</v>
      </c>
      <c r="P5" s="16" t="s">
        <v>24</v>
      </c>
      <c r="Q5" s="17" t="s">
        <v>27</v>
      </c>
      <c r="T5" t="s">
        <v>4</v>
      </c>
      <c r="U5">
        <f>Planner!D17</f>
        <v>10</v>
      </c>
      <c r="V5">
        <f>Planner!E17</f>
        <v>26</v>
      </c>
      <c r="W5">
        <f>Planner!F17</f>
        <v>9</v>
      </c>
      <c r="X5">
        <f>Planner!G17</f>
        <v>15</v>
      </c>
      <c r="Y5">
        <f>Planner!H17</f>
        <v>15</v>
      </c>
    </row>
    <row r="6" spans="2:26" x14ac:dyDescent="0.3">
      <c r="B6" s="47">
        <f>INDEX('Data and Lookup'!$B$25:$B$26,MATCH(Equipment_List6[[#This Row],[Rarity]],'Data and Lookup'!$C$25:$C$26,0))</f>
        <v>2</v>
      </c>
      <c r="C6" s="48" t="s">
        <v>5</v>
      </c>
      <c r="D6" s="49">
        <v>18</v>
      </c>
      <c r="E6" s="50" t="s">
        <v>9</v>
      </c>
      <c r="F6" t="e" vm="22">
        <v>#VALUE!</v>
      </c>
      <c r="H6" s="15">
        <v>1</v>
      </c>
      <c r="I6" s="14"/>
      <c r="J6" s="14"/>
      <c r="K6" s="13"/>
      <c r="N6" s="12">
        <v>1</v>
      </c>
      <c r="O6" s="11"/>
      <c r="P6" s="10"/>
      <c r="T6" t="s">
        <v>3</v>
      </c>
      <c r="U6">
        <f>Planner!D18</f>
        <v>18</v>
      </c>
      <c r="V6">
        <f>Planner!E18</f>
        <v>27</v>
      </c>
      <c r="W6">
        <f>Planner!F18</f>
        <v>17</v>
      </c>
      <c r="X6">
        <f>Planner!G18</f>
        <v>18</v>
      </c>
      <c r="Y6">
        <f>Planner!H18</f>
        <v>18</v>
      </c>
    </row>
    <row r="7" spans="2:26" x14ac:dyDescent="0.3">
      <c r="B7" s="47">
        <f>INDEX('Data and Lookup'!$B$25:$B$26,MATCH(Equipment_List6[[#This Row],[Rarity]],'Data and Lookup'!$C$25:$C$26,0))</f>
        <v>2</v>
      </c>
      <c r="C7" s="48" t="s">
        <v>23</v>
      </c>
      <c r="D7" s="49">
        <v>18</v>
      </c>
      <c r="E7" s="50" t="s">
        <v>9</v>
      </c>
      <c r="F7" t="e" vm="23">
        <v>#VALUE!</v>
      </c>
      <c r="H7" s="6">
        <v>2</v>
      </c>
      <c r="I7" s="5">
        <v>120</v>
      </c>
      <c r="J7" s="5"/>
      <c r="K7" s="4"/>
      <c r="N7" s="6">
        <v>2</v>
      </c>
      <c r="O7" s="5">
        <v>120</v>
      </c>
      <c r="P7" s="4"/>
      <c r="Q7">
        <v>0</v>
      </c>
      <c r="T7" t="s">
        <v>33</v>
      </c>
      <c r="U7">
        <f>U6-U5</f>
        <v>8</v>
      </c>
      <c r="V7">
        <f>V6-V5</f>
        <v>1</v>
      </c>
      <c r="W7">
        <f>W6-W5</f>
        <v>8</v>
      </c>
      <c r="X7">
        <f>X6-X5</f>
        <v>3</v>
      </c>
      <c r="Y7">
        <f>Y6-Y5</f>
        <v>3</v>
      </c>
    </row>
    <row r="8" spans="2:26" x14ac:dyDescent="0.3">
      <c r="B8" s="47">
        <f>INDEX('Data and Lookup'!$B$25:$B$26,MATCH(Equipment_List6[[#This Row],[Rarity]],'Data and Lookup'!$C$25:$C$26,0))</f>
        <v>2</v>
      </c>
      <c r="C8" s="48" t="s">
        <v>22</v>
      </c>
      <c r="D8" s="49">
        <v>18</v>
      </c>
      <c r="E8" s="50" t="s">
        <v>9</v>
      </c>
      <c r="F8" t="e" vm="24">
        <v>#VALUE!</v>
      </c>
      <c r="H8" s="6">
        <v>3</v>
      </c>
      <c r="I8" s="5">
        <v>240</v>
      </c>
      <c r="J8" s="5">
        <v>20</v>
      </c>
      <c r="K8" s="4"/>
      <c r="N8" s="9">
        <v>3</v>
      </c>
      <c r="O8" s="8">
        <v>240</v>
      </c>
      <c r="P8" s="7">
        <v>20</v>
      </c>
      <c r="Q8">
        <v>0</v>
      </c>
      <c r="T8" t="s">
        <v>10</v>
      </c>
      <c r="U8">
        <f>CHOOSE(U4,$D$25,$D$26)</f>
        <v>18</v>
      </c>
      <c r="V8">
        <f>CHOOSE(V4,$D$25,$D$26)</f>
        <v>18</v>
      </c>
      <c r="W8">
        <f>CHOOSE(W4,$D$25,$D$26)</f>
        <v>18</v>
      </c>
      <c r="X8">
        <f>CHOOSE(X4,$D$25,$D$26)</f>
        <v>18</v>
      </c>
      <c r="Y8">
        <f>CHOOSE(Y4,$D$25,$D$26)</f>
        <v>18</v>
      </c>
    </row>
    <row r="9" spans="2:26" ht="15" thickBot="1" x14ac:dyDescent="0.35">
      <c r="B9" s="47">
        <f>INDEX('Data and Lookup'!$B$25:$B$26,MATCH(Equipment_List6[[#This Row],[Rarity]],'Data and Lookup'!$C$25:$C$26,0))</f>
        <v>2</v>
      </c>
      <c r="C9" s="48" t="s">
        <v>21</v>
      </c>
      <c r="D9" s="49">
        <v>18</v>
      </c>
      <c r="E9" s="50" t="s">
        <v>9</v>
      </c>
      <c r="F9" t="e" vm="25">
        <v>#VALUE!</v>
      </c>
      <c r="H9" s="6">
        <v>4</v>
      </c>
      <c r="I9" s="5">
        <v>400</v>
      </c>
      <c r="J9" s="5"/>
      <c r="K9" s="4"/>
      <c r="N9" s="6">
        <v>4</v>
      </c>
      <c r="O9" s="5">
        <v>400</v>
      </c>
      <c r="P9" s="4"/>
      <c r="Q9">
        <v>0</v>
      </c>
    </row>
    <row r="10" spans="2:26" ht="15" thickBot="1" x14ac:dyDescent="0.35">
      <c r="B10" s="47">
        <f>INDEX('Data and Lookup'!$B$25:$B$26,MATCH(Equipment_List6[[#This Row],[Rarity]],'Data and Lookup'!$C$25:$C$26,0))</f>
        <v>1</v>
      </c>
      <c r="C10" s="48" t="s">
        <v>7</v>
      </c>
      <c r="D10" s="49">
        <v>27</v>
      </c>
      <c r="E10" s="50" t="s">
        <v>8</v>
      </c>
      <c r="F10" t="e" vm="26">
        <v>#VALUE!</v>
      </c>
      <c r="H10" s="6">
        <v>5</v>
      </c>
      <c r="I10" s="5">
        <v>600</v>
      </c>
      <c r="J10" s="5"/>
      <c r="K10" s="4"/>
      <c r="N10" s="9">
        <v>5</v>
      </c>
      <c r="O10" s="8">
        <v>600</v>
      </c>
      <c r="P10" s="7"/>
      <c r="Q10">
        <v>0</v>
      </c>
      <c r="S10" s="39"/>
      <c r="T10" s="40" t="s">
        <v>38</v>
      </c>
      <c r="U10" s="40"/>
      <c r="V10" s="40"/>
      <c r="W10" s="40"/>
      <c r="X10" s="40"/>
      <c r="Y10" s="40"/>
      <c r="Z10" s="41"/>
    </row>
    <row r="11" spans="2:26" x14ac:dyDescent="0.3">
      <c r="B11" s="47">
        <f>INDEX('Data and Lookup'!$B$25:$B$26,MATCH(Equipment_List6[[#This Row],[Rarity]],'Data and Lookup'!$C$25:$C$26,0))</f>
        <v>2</v>
      </c>
      <c r="C11" s="48" t="s">
        <v>20</v>
      </c>
      <c r="D11" s="49">
        <v>18</v>
      </c>
      <c r="E11" s="50" t="s">
        <v>9</v>
      </c>
      <c r="F11" t="e" vm="27">
        <v>#VALUE!</v>
      </c>
      <c r="H11" s="6">
        <v>6</v>
      </c>
      <c r="I11" s="5">
        <v>840</v>
      </c>
      <c r="J11" s="5">
        <v>100</v>
      </c>
      <c r="K11" s="4"/>
      <c r="N11" s="6">
        <v>6</v>
      </c>
      <c r="O11" s="5">
        <v>840</v>
      </c>
      <c r="P11" s="4">
        <v>100</v>
      </c>
      <c r="Q11">
        <v>0</v>
      </c>
      <c r="S11" s="31">
        <v>1</v>
      </c>
      <c r="T11" t="s">
        <v>8</v>
      </c>
      <c r="U11" t="str">
        <f ca="1">U15&amp;":"&amp;U16</f>
        <v>'Data and Lookup'!$H$16:$H$32</v>
      </c>
      <c r="V11" t="str">
        <f t="shared" ref="V11:Y11" ca="1" si="0">V15&amp;":"&amp;V16</f>
        <v>'Data and Lookup'!$H$32:$H$32</v>
      </c>
      <c r="W11" t="str">
        <f t="shared" ca="1" si="0"/>
        <v>'Data and Lookup'!$H$15:$H$32</v>
      </c>
      <c r="X11" t="str">
        <f t="shared" ca="1" si="0"/>
        <v>'Data and Lookup'!$H$21:$H$32</v>
      </c>
      <c r="Y11" t="str">
        <f t="shared" ca="1" si="0"/>
        <v>'Data and Lookup'!$H$21:$H$32</v>
      </c>
      <c r="Z11" s="32"/>
    </row>
    <row r="12" spans="2:26" x14ac:dyDescent="0.3">
      <c r="B12" s="47">
        <f>INDEX('Data and Lookup'!$B$25:$B$26,MATCH(Equipment_List6[[#This Row],[Rarity]],'Data and Lookup'!$C$25:$C$26,0))</f>
        <v>2</v>
      </c>
      <c r="C12" s="48" t="s">
        <v>19</v>
      </c>
      <c r="D12" s="49">
        <v>18</v>
      </c>
      <c r="E12" s="50" t="s">
        <v>9</v>
      </c>
      <c r="F12" t="e" vm="28">
        <v>#VALUE!</v>
      </c>
      <c r="H12" s="6">
        <v>7</v>
      </c>
      <c r="I12" s="5">
        <v>1120</v>
      </c>
      <c r="J12" s="5"/>
      <c r="K12" s="4"/>
      <c r="N12" s="9">
        <v>7</v>
      </c>
      <c r="O12" s="8">
        <v>1120</v>
      </c>
      <c r="P12" s="7"/>
      <c r="Q12">
        <v>0</v>
      </c>
      <c r="S12" s="31">
        <v>2</v>
      </c>
      <c r="T12" t="s">
        <v>9</v>
      </c>
      <c r="U12" t="str">
        <f ca="1">U17&amp;":"&amp;U18</f>
        <v>'Data and Lookup'!$N$16:$N$23</v>
      </c>
      <c r="V12" t="str">
        <f t="shared" ref="V12:Y12" ca="1" si="1">V17&amp;":"&amp;V18</f>
        <v>'Data and Lookup'!$N$5:$N$23</v>
      </c>
      <c r="W12" t="str">
        <f t="shared" ca="1" si="1"/>
        <v>'Data and Lookup'!$N$15:$N$23</v>
      </c>
      <c r="X12" t="str">
        <f t="shared" ca="1" si="1"/>
        <v>'Data and Lookup'!$N$21:$N$23</v>
      </c>
      <c r="Y12" t="str">
        <f t="shared" ca="1" si="1"/>
        <v>'Data and Lookup'!$N$21:$N$23</v>
      </c>
      <c r="Z12" s="32"/>
    </row>
    <row r="13" spans="2:26" x14ac:dyDescent="0.3">
      <c r="B13" s="47">
        <f>INDEX('Data and Lookup'!$B$25:$B$26,MATCH(Equipment_List6[[#This Row],[Rarity]],'Data and Lookup'!$C$25:$C$26,0))</f>
        <v>2</v>
      </c>
      <c r="C13" s="48" t="s">
        <v>18</v>
      </c>
      <c r="D13" s="49">
        <v>18</v>
      </c>
      <c r="E13" s="50" t="s">
        <v>9</v>
      </c>
      <c r="F13" t="e" vm="29">
        <v>#VALUE!</v>
      </c>
      <c r="H13" s="6">
        <v>8</v>
      </c>
      <c r="I13" s="5">
        <v>1440</v>
      </c>
      <c r="J13" s="5"/>
      <c r="K13" s="4"/>
      <c r="N13" s="6">
        <v>8</v>
      </c>
      <c r="O13" s="5">
        <v>1440</v>
      </c>
      <c r="P13" s="4"/>
      <c r="Q13">
        <v>0</v>
      </c>
      <c r="S13" s="33"/>
      <c r="Z13" s="32"/>
    </row>
    <row r="14" spans="2:26" x14ac:dyDescent="0.3">
      <c r="B14" s="47">
        <f>INDEX('Data and Lookup'!$B$25:$B$26,MATCH(Equipment_List6[[#This Row],[Rarity]],'Data and Lookup'!$C$25:$C$26,0))</f>
        <v>2</v>
      </c>
      <c r="C14" s="48" t="s">
        <v>17</v>
      </c>
      <c r="D14" s="49">
        <v>18</v>
      </c>
      <c r="E14" s="50" t="s">
        <v>9</v>
      </c>
      <c r="F14" t="e" vm="30">
        <v>#VALUE!</v>
      </c>
      <c r="H14" s="6">
        <v>9</v>
      </c>
      <c r="I14" s="5">
        <v>1800</v>
      </c>
      <c r="J14" s="5">
        <v>200</v>
      </c>
      <c r="K14" s="4">
        <v>10</v>
      </c>
      <c r="N14" s="9">
        <v>9</v>
      </c>
      <c r="O14" s="8">
        <v>1800</v>
      </c>
      <c r="P14" s="7">
        <v>200</v>
      </c>
      <c r="Q14">
        <v>0</v>
      </c>
      <c r="S14" s="34"/>
      <c r="T14" s="35" t="s">
        <v>38</v>
      </c>
      <c r="U14" s="35"/>
      <c r="V14" s="35"/>
      <c r="W14" s="35"/>
      <c r="Z14" s="32"/>
    </row>
    <row r="15" spans="2:26" x14ac:dyDescent="0.3">
      <c r="B15" s="47">
        <f>INDEX('Data and Lookup'!$B$25:$B$26,MATCH(Equipment_List6[[#This Row],[Rarity]],'Data and Lookup'!$C$25:$C$26,0))</f>
        <v>2</v>
      </c>
      <c r="C15" s="48" t="s">
        <v>16</v>
      </c>
      <c r="D15" s="49">
        <v>18</v>
      </c>
      <c r="E15" s="50" t="s">
        <v>9</v>
      </c>
      <c r="F15" t="e" vm="31">
        <v>#VALUE!</v>
      </c>
      <c r="H15" s="6">
        <v>10</v>
      </c>
      <c r="I15" s="5">
        <v>1900</v>
      </c>
      <c r="J15" s="5"/>
      <c r="K15" s="4"/>
      <c r="N15" s="6">
        <v>10</v>
      </c>
      <c r="O15" s="5">
        <v>1900</v>
      </c>
      <c r="P15" s="4"/>
      <c r="Q15">
        <v>0</v>
      </c>
      <c r="S15" s="34" t="s">
        <v>8</v>
      </c>
      <c r="T15" s="35" t="s">
        <v>34</v>
      </c>
      <c r="U15" s="35" t="str">
        <f ca="1">ADDRESS(OFFSET($H$1,U$5+5,0)+5,8,1,1,"Data and Lookup")</f>
        <v>'Data and Lookup'!$H$16</v>
      </c>
      <c r="V15" s="35" t="str">
        <f t="shared" ref="V15:Y15" ca="1" si="2">ADDRESS(OFFSET($H$1,V$5+5,0)+5,8,1,1,"Data and Lookup")</f>
        <v>'Data and Lookup'!$H$32</v>
      </c>
      <c r="W15" s="35" t="str">
        <f t="shared" ca="1" si="2"/>
        <v>'Data and Lookup'!$H$15</v>
      </c>
      <c r="X15" s="35" t="str">
        <f t="shared" ca="1" si="2"/>
        <v>'Data and Lookup'!$H$21</v>
      </c>
      <c r="Y15" s="35" t="str">
        <f t="shared" ca="1" si="2"/>
        <v>'Data and Lookup'!$H$21</v>
      </c>
      <c r="Z15" s="32"/>
    </row>
    <row r="16" spans="2:26" x14ac:dyDescent="0.3">
      <c r="B16" s="47">
        <f>INDEX('Data and Lookup'!$B$25:$B$26,MATCH(Equipment_List6[[#This Row],[Rarity]],'Data and Lookup'!$C$25:$C$26,0))</f>
        <v>2</v>
      </c>
      <c r="C16" s="48" t="s">
        <v>6</v>
      </c>
      <c r="D16" s="49">
        <v>18</v>
      </c>
      <c r="E16" s="50" t="s">
        <v>9</v>
      </c>
      <c r="F16" t="e" vm="32">
        <v>#VALUE!</v>
      </c>
      <c r="H16" s="6">
        <v>11</v>
      </c>
      <c r="I16" s="5">
        <v>2000</v>
      </c>
      <c r="J16" s="5"/>
      <c r="K16" s="4"/>
      <c r="N16" s="9">
        <v>11</v>
      </c>
      <c r="O16" s="8">
        <v>2000</v>
      </c>
      <c r="P16" s="7"/>
      <c r="Q16">
        <v>0</v>
      </c>
      <c r="S16" s="34"/>
      <c r="T16" s="35" t="s">
        <v>35</v>
      </c>
      <c r="U16" s="35" t="s">
        <v>36</v>
      </c>
      <c r="V16" s="35" t="s">
        <v>36</v>
      </c>
      <c r="W16" s="35" t="s">
        <v>36</v>
      </c>
      <c r="X16" s="35" t="s">
        <v>36</v>
      </c>
      <c r="Y16" s="35" t="s">
        <v>36</v>
      </c>
      <c r="Z16" s="32"/>
    </row>
    <row r="17" spans="2:26" x14ac:dyDescent="0.3">
      <c r="B17" s="47">
        <f>INDEX('Data and Lookup'!$B$25:$B$26,MATCH(Equipment_List6[[#This Row],[Rarity]],'Data and Lookup'!$C$25:$C$26,0))</f>
        <v>2</v>
      </c>
      <c r="C17" s="48" t="s">
        <v>15</v>
      </c>
      <c r="D17" s="49">
        <v>18</v>
      </c>
      <c r="E17" s="50" t="s">
        <v>9</v>
      </c>
      <c r="F17" t="e" vm="33">
        <v>#VALUE!</v>
      </c>
      <c r="H17" s="6">
        <v>12</v>
      </c>
      <c r="I17" s="5">
        <v>2100</v>
      </c>
      <c r="J17" s="5">
        <v>400</v>
      </c>
      <c r="K17" s="4">
        <v>20</v>
      </c>
      <c r="N17" s="6">
        <v>12</v>
      </c>
      <c r="O17" s="5">
        <v>2100</v>
      </c>
      <c r="P17" s="4">
        <v>400</v>
      </c>
      <c r="Q17">
        <v>0</v>
      </c>
      <c r="S17" s="34" t="s">
        <v>9</v>
      </c>
      <c r="T17" s="35" t="s">
        <v>34</v>
      </c>
      <c r="U17" s="35" t="str">
        <f ca="1">ADDRESS(OFFSET($N$6,U$5,0)+5,14,1,1,"Data and Lookup")</f>
        <v>'Data and Lookup'!$N$16</v>
      </c>
      <c r="V17" s="35" t="str">
        <f t="shared" ref="V17:Y17" ca="1" si="3">ADDRESS(OFFSET($N$6,V$5,0)+5,14,1,1,"Data and Lookup")</f>
        <v>'Data and Lookup'!$N$5</v>
      </c>
      <c r="W17" s="35" t="str">
        <f t="shared" ca="1" si="3"/>
        <v>'Data and Lookup'!$N$15</v>
      </c>
      <c r="X17" s="35" t="str">
        <f t="shared" ca="1" si="3"/>
        <v>'Data and Lookup'!$N$21</v>
      </c>
      <c r="Y17" s="35" t="str">
        <f t="shared" ca="1" si="3"/>
        <v>'Data and Lookup'!$N$21</v>
      </c>
      <c r="Z17" s="32"/>
    </row>
    <row r="18" spans="2:26" x14ac:dyDescent="0.3">
      <c r="B18" s="47">
        <f>INDEX('Data and Lookup'!$B$25:$B$26,MATCH(Equipment_List6[[#This Row],[Rarity]],'Data and Lookup'!$C$25:$C$26,0))</f>
        <v>2</v>
      </c>
      <c r="C18" s="48" t="s">
        <v>14</v>
      </c>
      <c r="D18" s="49">
        <v>18</v>
      </c>
      <c r="E18" s="50" t="s">
        <v>9</v>
      </c>
      <c r="F18" t="e" vm="34">
        <v>#VALUE!</v>
      </c>
      <c r="H18" s="6">
        <v>13</v>
      </c>
      <c r="I18" s="5">
        <v>2200</v>
      </c>
      <c r="J18" s="5"/>
      <c r="K18" s="4"/>
      <c r="N18" s="9">
        <v>13</v>
      </c>
      <c r="O18" s="8">
        <v>2200</v>
      </c>
      <c r="P18" s="7"/>
      <c r="Q18">
        <v>0</v>
      </c>
      <c r="S18" s="34"/>
      <c r="T18" s="35" t="s">
        <v>35</v>
      </c>
      <c r="U18" s="35" t="s">
        <v>37</v>
      </c>
      <c r="V18" s="35" t="s">
        <v>37</v>
      </c>
      <c r="W18" s="35" t="s">
        <v>37</v>
      </c>
      <c r="X18" s="35" t="s">
        <v>37</v>
      </c>
      <c r="Y18" s="35" t="s">
        <v>37</v>
      </c>
      <c r="Z18" s="32"/>
    </row>
    <row r="19" spans="2:26" ht="15" thickBot="1" x14ac:dyDescent="0.35">
      <c r="B19" s="47">
        <f>INDEX('Data and Lookup'!$B$25:$B$26,MATCH(Equipment_List6[[#This Row],[Rarity]],'Data and Lookup'!$C$25:$C$26,0))</f>
        <v>2</v>
      </c>
      <c r="C19" s="48" t="s">
        <v>13</v>
      </c>
      <c r="D19" s="49">
        <v>18</v>
      </c>
      <c r="E19" s="50" t="s">
        <v>9</v>
      </c>
      <c r="F19" t="e" vm="35">
        <v>#VALUE!</v>
      </c>
      <c r="H19" s="6">
        <v>14</v>
      </c>
      <c r="I19" s="5">
        <v>2300</v>
      </c>
      <c r="J19" s="5"/>
      <c r="K19" s="4"/>
      <c r="N19" s="6">
        <v>14</v>
      </c>
      <c r="O19" s="5">
        <v>2300</v>
      </c>
      <c r="P19" s="4"/>
      <c r="Q19">
        <v>0</v>
      </c>
      <c r="S19" s="33"/>
      <c r="Z19" s="32"/>
    </row>
    <row r="20" spans="2:26" ht="15" thickBot="1" x14ac:dyDescent="0.35">
      <c r="B20" s="47">
        <f>INDEX('Data and Lookup'!$B$25:$B$26,MATCH(Equipment_List6[[#This Row],[Rarity]],'Data and Lookup'!$C$25:$C$26,0))</f>
        <v>2</v>
      </c>
      <c r="C20" s="51" t="s">
        <v>12</v>
      </c>
      <c r="D20" s="52">
        <v>18</v>
      </c>
      <c r="E20" s="53" t="s">
        <v>9</v>
      </c>
      <c r="F20" t="e" vm="36">
        <v>#VALUE!</v>
      </c>
      <c r="H20" s="6">
        <v>15</v>
      </c>
      <c r="I20" s="5">
        <v>2400</v>
      </c>
      <c r="J20" s="5">
        <v>600</v>
      </c>
      <c r="K20" s="4">
        <v>30</v>
      </c>
      <c r="N20" s="9">
        <v>15</v>
      </c>
      <c r="O20" s="8">
        <v>2400</v>
      </c>
      <c r="P20" s="7">
        <v>600</v>
      </c>
      <c r="Q20">
        <v>0</v>
      </c>
      <c r="S20" s="39"/>
      <c r="T20" s="42" t="s">
        <v>39</v>
      </c>
      <c r="U20" s="40"/>
      <c r="V20" s="40"/>
      <c r="W20" s="40"/>
      <c r="X20" s="40"/>
      <c r="Y20" s="40"/>
      <c r="Z20" s="41"/>
    </row>
    <row r="21" spans="2:26" x14ac:dyDescent="0.3">
      <c r="H21" s="6">
        <v>16</v>
      </c>
      <c r="I21" s="5">
        <v>2500</v>
      </c>
      <c r="J21" s="5"/>
      <c r="K21" s="4"/>
      <c r="N21" s="6">
        <v>16</v>
      </c>
      <c r="O21" s="5">
        <v>2500</v>
      </c>
      <c r="P21" s="4"/>
      <c r="Q21">
        <v>0</v>
      </c>
      <c r="T21" s="33">
        <v>1</v>
      </c>
      <c r="U21" t="b">
        <f>AND(Planner!R$6='Data and Lookup'!$B$25,Planner!D$17='Data and Lookup'!$D$25)</f>
        <v>0</v>
      </c>
      <c r="V21" t="b">
        <f>AND(Planner!S$6='Data and Lookup'!$B$25,Planner!E$17='Data and Lookup'!$D$25)</f>
        <v>0</v>
      </c>
      <c r="W21" t="b">
        <f>AND(Planner!T$6='Data and Lookup'!$B$25,Planner!F$17='Data and Lookup'!$D$25)</f>
        <v>0</v>
      </c>
      <c r="X21" t="b">
        <f>AND(Planner!U$6='Data and Lookup'!$B$25,Planner!G$17='Data and Lookup'!$D$25)</f>
        <v>0</v>
      </c>
      <c r="Y21" t="b">
        <f>AND(Planner!V$6='Data and Lookup'!$B$25,Planner!H$17='Data and Lookup'!$D$25)</f>
        <v>0</v>
      </c>
      <c r="Z21" s="32"/>
    </row>
    <row r="22" spans="2:26" x14ac:dyDescent="0.3">
      <c r="H22" s="6">
        <v>17</v>
      </c>
      <c r="I22" s="5">
        <v>2600</v>
      </c>
      <c r="J22" s="5"/>
      <c r="K22" s="4"/>
      <c r="N22" s="9">
        <v>17</v>
      </c>
      <c r="O22" s="8">
        <v>2600</v>
      </c>
      <c r="P22" s="7"/>
      <c r="Q22">
        <v>0</v>
      </c>
      <c r="T22" s="33">
        <v>2</v>
      </c>
      <c r="U22" t="b">
        <f>AND(Planner!R$6='Data and Lookup'!$B$26,Planner!D$17='Data and Lookup'!$D$26)</f>
        <v>0</v>
      </c>
      <c r="V22" t="b">
        <f>AND(Planner!S$6='Data and Lookup'!$B$26,Planner!E$17='Data and Lookup'!$D$26)</f>
        <v>0</v>
      </c>
      <c r="W22" t="b">
        <f>AND(Planner!T$6='Data and Lookup'!$B$26,Planner!F$17='Data and Lookup'!$D$26)</f>
        <v>0</v>
      </c>
      <c r="X22" t="b">
        <f>AND(Planner!U$6='Data and Lookup'!$B$26,Planner!G$17='Data and Lookup'!$D$26)</f>
        <v>0</v>
      </c>
      <c r="Y22" t="b">
        <f>AND(Planner!V$6='Data and Lookup'!$B$26,Planner!H$17='Data and Lookup'!$D$26)</f>
        <v>0</v>
      </c>
      <c r="Z22" s="32"/>
    </row>
    <row r="23" spans="2:26" ht="15" thickBot="1" x14ac:dyDescent="0.35">
      <c r="H23" s="6">
        <v>18</v>
      </c>
      <c r="I23" s="5">
        <v>2700</v>
      </c>
      <c r="J23" s="5">
        <v>600</v>
      </c>
      <c r="K23" s="4">
        <v>50</v>
      </c>
      <c r="N23" s="6">
        <v>18</v>
      </c>
      <c r="O23" s="5">
        <v>2700</v>
      </c>
      <c r="P23" s="4">
        <v>600</v>
      </c>
      <c r="Q23">
        <v>0</v>
      </c>
      <c r="T23" s="36"/>
      <c r="U23" s="37" t="b">
        <f>AND(Planner!R$6=2,OR(Planner!D$17&gt;Common_Max_Level,Planner!D$18&gt;Common_Max_Level))</f>
        <v>0</v>
      </c>
      <c r="V23" s="37" t="b">
        <f>AND(Planner!S$6=2,OR(Planner!E$17&gt;Common_Max_Level,Planner!E$18&gt;Common_Max_Level))</f>
        <v>1</v>
      </c>
      <c r="W23" s="37" t="b">
        <f>AND(Planner!T$6=2,OR(Planner!F$17&gt;Common_Max_Level,Planner!F$18&gt;Common_Max_Level))</f>
        <v>0</v>
      </c>
      <c r="X23" s="37" t="b">
        <f>AND(Planner!U$6=2,OR(Planner!G$17&gt;Common_Max_Level,Planner!G$18&gt;Common_Max_Level))</f>
        <v>0</v>
      </c>
      <c r="Y23" s="37" t="b">
        <f>AND(Planner!V$6=2,OR(Planner!H$17&gt;Common_Max_Level,Planner!H$18&gt;Common_Max_Level))</f>
        <v>0</v>
      </c>
      <c r="Z23" s="38"/>
    </row>
    <row r="24" spans="2:26" ht="14.4" customHeight="1" x14ac:dyDescent="0.3">
      <c r="B24" s="27" t="s">
        <v>29</v>
      </c>
      <c r="C24" s="28" t="s">
        <v>11</v>
      </c>
      <c r="D24" s="28" t="s">
        <v>10</v>
      </c>
      <c r="H24" s="6">
        <v>19</v>
      </c>
      <c r="I24" s="5">
        <v>2800</v>
      </c>
      <c r="J24" s="5"/>
      <c r="K24" s="4"/>
      <c r="T24" t="s">
        <v>40</v>
      </c>
      <c r="U24" t="b">
        <f>AND(Planner!R$6=2,Planner!D$17&gt;Common_Max_Level)</f>
        <v>0</v>
      </c>
      <c r="V24" t="b">
        <f>AND(Planner!S$6=2,Planner!E$17&gt;Common_Max_Level)</f>
        <v>1</v>
      </c>
      <c r="W24" t="b">
        <f>AND(Planner!T$6=2,Planner!F$17&gt;Common_Max_Level)</f>
        <v>0</v>
      </c>
      <c r="X24" t="b">
        <f>AND(Planner!U$6=2,Planner!G$17&gt;Common_Max_Level)</f>
        <v>0</v>
      </c>
      <c r="Y24" t="b">
        <f>AND(Planner!V$6=2,Planner!H$17&gt;Common_Max_Level)</f>
        <v>0</v>
      </c>
    </row>
    <row r="25" spans="2:26" x14ac:dyDescent="0.3">
      <c r="B25" s="54">
        <v>1</v>
      </c>
      <c r="C25" s="54" t="s">
        <v>8</v>
      </c>
      <c r="D25" s="54">
        <f>MAX(Costs_Epic[Level])</f>
        <v>27</v>
      </c>
      <c r="H25" s="6">
        <v>20</v>
      </c>
      <c r="I25" s="5">
        <v>2900</v>
      </c>
      <c r="J25" s="5"/>
      <c r="K25" s="4"/>
      <c r="U25" t="s">
        <v>89</v>
      </c>
    </row>
    <row r="26" spans="2:26" x14ac:dyDescent="0.3">
      <c r="B26" s="55">
        <v>2</v>
      </c>
      <c r="C26" s="55" t="s">
        <v>9</v>
      </c>
      <c r="D26" s="55">
        <f>MAX(Costs_Common[Level])</f>
        <v>18</v>
      </c>
      <c r="H26" s="6">
        <v>21</v>
      </c>
      <c r="I26" s="5">
        <v>3000</v>
      </c>
      <c r="J26" s="5">
        <v>600</v>
      </c>
      <c r="K26" s="4">
        <v>100</v>
      </c>
      <c r="S26">
        <v>1</v>
      </c>
      <c r="T26" t="s">
        <v>41</v>
      </c>
    </row>
    <row r="27" spans="2:26" x14ac:dyDescent="0.3">
      <c r="D27" s="29" t="s">
        <v>32</v>
      </c>
      <c r="H27" s="6">
        <v>22</v>
      </c>
      <c r="I27" s="5">
        <v>3100</v>
      </c>
      <c r="J27" s="5"/>
      <c r="K27" s="4"/>
      <c r="T27" t="s">
        <v>42</v>
      </c>
      <c r="U27" t="str">
        <f>U28&amp;":"&amp;U29</f>
        <v>'Data and Lookup'!$I$16:$I$23</v>
      </c>
      <c r="V27" t="str">
        <f t="shared" ref="V27:Y27" si="4">V28&amp;":"&amp;V29</f>
        <v>'Data and Lookup'!$I$32:$I$32</v>
      </c>
      <c r="W27" t="str">
        <f t="shared" si="4"/>
        <v>'Data and Lookup'!$I$15:$I$22</v>
      </c>
      <c r="X27" t="str">
        <f t="shared" si="4"/>
        <v>'Data and Lookup'!$I$21:$I$23</v>
      </c>
      <c r="Y27" t="str">
        <f t="shared" si="4"/>
        <v>'Data and Lookup'!$I$21:$I$23</v>
      </c>
    </row>
    <row r="28" spans="2:26" x14ac:dyDescent="0.3">
      <c r="H28" s="6">
        <v>23</v>
      </c>
      <c r="I28" s="5">
        <v>3200</v>
      </c>
      <c r="J28" s="5"/>
      <c r="K28" s="4"/>
      <c r="U28" s="35" t="str">
        <f>ADDRESS(U$5+6,9,1,1,"Data and Lookup")</f>
        <v>'Data and Lookup'!$I$16</v>
      </c>
      <c r="V28" s="35" t="str">
        <f t="shared" ref="V28:Y28" si="5">ADDRESS(V$5+6,9,1,1,"Data and Lookup")</f>
        <v>'Data and Lookup'!$I$32</v>
      </c>
      <c r="W28" s="35" t="str">
        <f t="shared" si="5"/>
        <v>'Data and Lookup'!$I$15</v>
      </c>
      <c r="X28" s="35" t="str">
        <f t="shared" si="5"/>
        <v>'Data and Lookup'!$I$21</v>
      </c>
      <c r="Y28" s="35" t="str">
        <f t="shared" si="5"/>
        <v>'Data and Lookup'!$I$21</v>
      </c>
    </row>
    <row r="29" spans="2:26" x14ac:dyDescent="0.3">
      <c r="H29" s="6">
        <v>24</v>
      </c>
      <c r="I29" s="5">
        <v>3300</v>
      </c>
      <c r="J29" s="5">
        <v>600</v>
      </c>
      <c r="K29" s="4">
        <v>120</v>
      </c>
      <c r="U29" s="35" t="str">
        <f>ADDRESS(U$5+U$7+5,9,1,1,)</f>
        <v>$I$23</v>
      </c>
      <c r="V29" s="35" t="str">
        <f t="shared" ref="V29:Y29" si="6">ADDRESS(V$5+V$7+5,9,1,1,)</f>
        <v>$I$32</v>
      </c>
      <c r="W29" s="35" t="str">
        <f t="shared" si="6"/>
        <v>$I$22</v>
      </c>
      <c r="X29" s="35" t="str">
        <f t="shared" si="6"/>
        <v>$I$23</v>
      </c>
      <c r="Y29" s="35" t="str">
        <f t="shared" si="6"/>
        <v>$I$23</v>
      </c>
    </row>
    <row r="30" spans="2:26" x14ac:dyDescent="0.3">
      <c r="H30" s="6">
        <v>25</v>
      </c>
      <c r="I30" s="5">
        <v>3400</v>
      </c>
      <c r="J30" s="5"/>
      <c r="K30" s="4"/>
      <c r="T30" t="s">
        <v>24</v>
      </c>
      <c r="U30" t="str">
        <f>U31&amp;":"&amp;U32</f>
        <v>'Data and Lookup'!$J$16:$J$23</v>
      </c>
      <c r="V30" t="str">
        <f t="shared" ref="V30:Y30" si="7">V31&amp;":"&amp;V32</f>
        <v>'Data and Lookup'!$J$32:$J$32</v>
      </c>
      <c r="W30" t="str">
        <f t="shared" si="7"/>
        <v>'Data and Lookup'!$J$15:$J$22</v>
      </c>
      <c r="X30" t="str">
        <f t="shared" si="7"/>
        <v>'Data and Lookup'!$J$21:$J$23</v>
      </c>
      <c r="Y30" t="str">
        <f t="shared" si="7"/>
        <v>'Data and Lookup'!$J$21:$J$23</v>
      </c>
    </row>
    <row r="31" spans="2:26" x14ac:dyDescent="0.3">
      <c r="H31" s="6">
        <v>26</v>
      </c>
      <c r="I31" s="5">
        <v>3500</v>
      </c>
      <c r="J31" s="5"/>
      <c r="K31" s="4"/>
      <c r="U31" s="35" t="str">
        <f>ADDRESS(U$5+6,10,1,1,"Data and Lookup")</f>
        <v>'Data and Lookup'!$J$16</v>
      </c>
      <c r="V31" s="35" t="str">
        <f t="shared" ref="V31:Y31" si="8">ADDRESS(V$5+6,10,1,1,"Data and Lookup")</f>
        <v>'Data and Lookup'!$J$32</v>
      </c>
      <c r="W31" s="35" t="str">
        <f t="shared" si="8"/>
        <v>'Data and Lookup'!$J$15</v>
      </c>
      <c r="X31" s="35" t="str">
        <f t="shared" si="8"/>
        <v>'Data and Lookup'!$J$21</v>
      </c>
      <c r="Y31" s="35" t="str">
        <f t="shared" si="8"/>
        <v>'Data and Lookup'!$J$21</v>
      </c>
    </row>
    <row r="32" spans="2:26" x14ac:dyDescent="0.3">
      <c r="H32" s="3">
        <v>27</v>
      </c>
      <c r="I32" s="2">
        <v>3600</v>
      </c>
      <c r="J32" s="2">
        <v>600</v>
      </c>
      <c r="K32" s="1">
        <v>150</v>
      </c>
      <c r="U32" s="35" t="str">
        <f>ADDRESS(U$5+U$7+5,10,1,1,)</f>
        <v>$J$23</v>
      </c>
      <c r="V32" s="35" t="str">
        <f t="shared" ref="V32:Y32" si="9">ADDRESS(V$5+V$7+5,10,1,1,)</f>
        <v>$J$32</v>
      </c>
      <c r="W32" s="35" t="str">
        <f t="shared" si="9"/>
        <v>$J$22</v>
      </c>
      <c r="X32" s="35" t="str">
        <f t="shared" si="9"/>
        <v>$J$23</v>
      </c>
      <c r="Y32" s="35" t="str">
        <f t="shared" si="9"/>
        <v>$J$23</v>
      </c>
    </row>
    <row r="33" spans="2:25" x14ac:dyDescent="0.3">
      <c r="T33" t="s">
        <v>27</v>
      </c>
      <c r="U33" t="str">
        <f>U34&amp;":"&amp;U35</f>
        <v>'Data and Lookup'!$K$16:$K$23</v>
      </c>
      <c r="V33" t="str">
        <f t="shared" ref="V33:Y33" si="10">V34&amp;":"&amp;V35</f>
        <v>'Data and Lookup'!$K$32:$K$32</v>
      </c>
      <c r="W33" t="str">
        <f t="shared" si="10"/>
        <v>'Data and Lookup'!$K$15:$K$22</v>
      </c>
      <c r="X33" t="str">
        <f t="shared" si="10"/>
        <v>'Data and Lookup'!$K$21:$K$23</v>
      </c>
      <c r="Y33" t="str">
        <f t="shared" si="10"/>
        <v>'Data and Lookup'!$K$21:$K$23</v>
      </c>
    </row>
    <row r="34" spans="2:25" x14ac:dyDescent="0.3">
      <c r="U34" s="35" t="str">
        <f>ADDRESS(U$5+6,11,1,1,"Data and Lookup")</f>
        <v>'Data and Lookup'!$K$16</v>
      </c>
      <c r="V34" s="35" t="str">
        <f t="shared" ref="V34:Y34" si="11">ADDRESS(V$5+6,11,1,1,"Data and Lookup")</f>
        <v>'Data and Lookup'!$K$32</v>
      </c>
      <c r="W34" s="35" t="str">
        <f t="shared" si="11"/>
        <v>'Data and Lookup'!$K$15</v>
      </c>
      <c r="X34" s="35" t="str">
        <f t="shared" si="11"/>
        <v>'Data and Lookup'!$K$21</v>
      </c>
      <c r="Y34" s="35" t="str">
        <f t="shared" si="11"/>
        <v>'Data and Lookup'!$K$21</v>
      </c>
    </row>
    <row r="35" spans="2:25" x14ac:dyDescent="0.3">
      <c r="U35" s="35" t="str">
        <f>ADDRESS(U$5+U$7+5,11,1,1,)</f>
        <v>$K$23</v>
      </c>
      <c r="V35" s="35" t="str">
        <f t="shared" ref="V35:Y35" si="12">ADDRESS(V$5+V$7+5,11,1,1,)</f>
        <v>$K$32</v>
      </c>
      <c r="W35" s="35" t="str">
        <f t="shared" si="12"/>
        <v>$K$22</v>
      </c>
      <c r="X35" s="35" t="str">
        <f t="shared" si="12"/>
        <v>$K$23</v>
      </c>
      <c r="Y35" s="35" t="str">
        <f t="shared" si="12"/>
        <v>$K$23</v>
      </c>
    </row>
    <row r="36" spans="2:25" ht="14.4" customHeight="1" x14ac:dyDescent="0.3">
      <c r="B36" t="s">
        <v>49</v>
      </c>
      <c r="C36" t="s">
        <v>50</v>
      </c>
      <c r="D36" t="s">
        <v>51</v>
      </c>
    </row>
    <row r="37" spans="2:25" x14ac:dyDescent="0.3">
      <c r="B37" t="s">
        <v>52</v>
      </c>
      <c r="C37" s="45">
        <v>125</v>
      </c>
      <c r="D37" s="45">
        <v>6</v>
      </c>
      <c r="E37" s="26" t="e" vm="37">
        <v>#VALUE!</v>
      </c>
      <c r="S37">
        <v>2</v>
      </c>
      <c r="T37" t="s">
        <v>43</v>
      </c>
    </row>
    <row r="38" spans="2:25" x14ac:dyDescent="0.3">
      <c r="B38" t="s">
        <v>53</v>
      </c>
      <c r="C38" s="45">
        <v>175</v>
      </c>
      <c r="D38" s="45">
        <v>7</v>
      </c>
      <c r="E38" s="26" t="e" vm="37">
        <v>#VALUE!</v>
      </c>
      <c r="T38" t="s">
        <v>42</v>
      </c>
      <c r="U38" t="str">
        <f>U39&amp;":"&amp;U40</f>
        <v>'Data and Lookup'!$O$16:$O$23</v>
      </c>
      <c r="V38" t="str">
        <f t="shared" ref="V38" si="13">V39&amp;":"&amp;V40</f>
        <v>'Data and Lookup'!$O$32:$O$32</v>
      </c>
      <c r="W38" t="str">
        <f t="shared" ref="W38" si="14">W39&amp;":"&amp;W40</f>
        <v>'Data and Lookup'!$O$15:$O$22</v>
      </c>
      <c r="X38" t="str">
        <f t="shared" ref="X38" si="15">X39&amp;":"&amp;X40</f>
        <v>'Data and Lookup'!$O$21:$O$23</v>
      </c>
      <c r="Y38" t="str">
        <f t="shared" ref="Y38" si="16">Y39&amp;":"&amp;Y40</f>
        <v>'Data and Lookup'!$O$21:$O$23</v>
      </c>
    </row>
    <row r="39" spans="2:25" x14ac:dyDescent="0.3">
      <c r="B39" t="s">
        <v>54</v>
      </c>
      <c r="C39" s="45">
        <v>175</v>
      </c>
      <c r="D39" s="45">
        <v>8</v>
      </c>
      <c r="E39" s="26" t="e" vm="37">
        <v>#VALUE!</v>
      </c>
      <c r="U39" s="35" t="str">
        <f>ADDRESS(U$5+6,15,1,1,"Data and Lookup")</f>
        <v>'Data and Lookup'!$O$16</v>
      </c>
      <c r="V39" s="35" t="str">
        <f>ADDRESS(V$5+6,15,1,1,"Data and Lookup")</f>
        <v>'Data and Lookup'!$O$32</v>
      </c>
      <c r="W39" s="35" t="str">
        <f>ADDRESS(W$5+6,15,1,1,"Data and Lookup")</f>
        <v>'Data and Lookup'!$O$15</v>
      </c>
      <c r="X39" s="35" t="str">
        <f>ADDRESS(X$5+6,15,1,1,"Data and Lookup")</f>
        <v>'Data and Lookup'!$O$21</v>
      </c>
      <c r="Y39" s="35" t="str">
        <f>ADDRESS(Y$5+6,15,1,1,"Data and Lookup")</f>
        <v>'Data and Lookup'!$O$21</v>
      </c>
    </row>
    <row r="40" spans="2:25" x14ac:dyDescent="0.3">
      <c r="B40" t="s">
        <v>55</v>
      </c>
      <c r="C40" s="45">
        <v>200</v>
      </c>
      <c r="D40" s="45">
        <v>9</v>
      </c>
      <c r="E40" s="45" t="e" vm="38">
        <v>#VALUE!</v>
      </c>
      <c r="U40" s="35" t="str">
        <f>ADDRESS(U$5+U$7+5,15,1,1,)</f>
        <v>$O$23</v>
      </c>
      <c r="V40" s="35" t="str">
        <f>ADDRESS(V$5+V$7+5,15,1,1,)</f>
        <v>$O$32</v>
      </c>
      <c r="W40" s="35" t="str">
        <f>ADDRESS(W$5+W$7+5,15,1,1,)</f>
        <v>$O$22</v>
      </c>
      <c r="X40" s="35" t="str">
        <f>ADDRESS(X$5+X$7+5,15,1,1,)</f>
        <v>$O$23</v>
      </c>
      <c r="Y40" s="35" t="str">
        <f>ADDRESS(Y$5+Y$7+5,15,1,1,)</f>
        <v>$O$23</v>
      </c>
    </row>
    <row r="41" spans="2:25" x14ac:dyDescent="0.3">
      <c r="B41" t="s">
        <v>56</v>
      </c>
      <c r="C41" s="45">
        <v>250</v>
      </c>
      <c r="D41" s="45">
        <v>10</v>
      </c>
      <c r="E41" s="45" t="e" vm="38">
        <v>#VALUE!</v>
      </c>
      <c r="T41" t="s">
        <v>24</v>
      </c>
      <c r="U41" t="str">
        <f>U42&amp;":"&amp;U43</f>
        <v>'Data and Lookup'!$P$16:$P$23</v>
      </c>
      <c r="V41" t="str">
        <f t="shared" ref="V41" si="17">V42&amp;":"&amp;V43</f>
        <v>'Data and Lookup'!$P$32:$P$32</v>
      </c>
      <c r="W41" t="str">
        <f t="shared" ref="W41" si="18">W42&amp;":"&amp;W43</f>
        <v>'Data and Lookup'!$P$15:$P$22</v>
      </c>
      <c r="X41" t="str">
        <f t="shared" ref="X41" si="19">X42&amp;":"&amp;X43</f>
        <v>'Data and Lookup'!$P$21:$P$23</v>
      </c>
      <c r="Y41" t="str">
        <f t="shared" ref="Y41" si="20">Y42&amp;":"&amp;Y43</f>
        <v>'Data and Lookup'!$P$21:$P$23</v>
      </c>
    </row>
    <row r="42" spans="2:25" x14ac:dyDescent="0.3">
      <c r="B42" t="s">
        <v>57</v>
      </c>
      <c r="C42" s="45">
        <v>275</v>
      </c>
      <c r="D42" s="45">
        <v>11</v>
      </c>
      <c r="E42" s="45" t="e" vm="38">
        <v>#VALUE!</v>
      </c>
      <c r="U42" s="35" t="str">
        <f>ADDRESS(U$5+6,16,1,1,"Data and Lookup")</f>
        <v>'Data and Lookup'!$P$16</v>
      </c>
      <c r="V42" s="35" t="str">
        <f>ADDRESS(V$5+6,16,1,1,"Data and Lookup")</f>
        <v>'Data and Lookup'!$P$32</v>
      </c>
      <c r="W42" s="35" t="str">
        <f>ADDRESS(W$5+6,16,1,1,"Data and Lookup")</f>
        <v>'Data and Lookup'!$P$15</v>
      </c>
      <c r="X42" s="35" t="str">
        <f>ADDRESS(X$5+6,16,1,1,"Data and Lookup")</f>
        <v>'Data and Lookup'!$P$21</v>
      </c>
      <c r="Y42" s="35" t="str">
        <f>ADDRESS(Y$5+6,16,1,1,"Data and Lookup")</f>
        <v>'Data and Lookup'!$P$21</v>
      </c>
    </row>
    <row r="43" spans="2:25" x14ac:dyDescent="0.3">
      <c r="B43" t="s">
        <v>58</v>
      </c>
      <c r="C43" s="45">
        <v>300</v>
      </c>
      <c r="D43" s="45">
        <v>12</v>
      </c>
      <c r="E43" s="45" t="e" vm="39">
        <v>#VALUE!</v>
      </c>
      <c r="U43" s="35" t="str">
        <f>ADDRESS(U$5+U$7+5,16,1,1,)</f>
        <v>$P$23</v>
      </c>
      <c r="V43" s="35" t="str">
        <f>ADDRESS(V$5+V$7+5,16,1,1,)</f>
        <v>$P$32</v>
      </c>
      <c r="W43" s="35" t="str">
        <f>ADDRESS(W$5+W$7+5,16,1,1,)</f>
        <v>$P$22</v>
      </c>
      <c r="X43" s="35" t="str">
        <f>ADDRESS(X$5+X$7+5,16,1,1,)</f>
        <v>$P$23</v>
      </c>
      <c r="Y43" s="35" t="str">
        <f>ADDRESS(Y$5+Y$7+5,16,1,1,)</f>
        <v>$P$23</v>
      </c>
    </row>
    <row r="44" spans="2:25" x14ac:dyDescent="0.3">
      <c r="B44" t="s">
        <v>59</v>
      </c>
      <c r="C44" s="45">
        <v>325</v>
      </c>
      <c r="D44" s="45">
        <v>14</v>
      </c>
      <c r="E44" s="45" t="e" vm="39">
        <v>#VALUE!</v>
      </c>
      <c r="T44" t="s">
        <v>27</v>
      </c>
      <c r="U44" t="str">
        <f>U45&amp;":"&amp;U46</f>
        <v>'Data and Lookup'!$Q$16:$Q$23</v>
      </c>
      <c r="V44" t="str">
        <f t="shared" ref="V44" si="21">V45&amp;":"&amp;V46</f>
        <v>'Data and Lookup'!$Q$32:$Q$32</v>
      </c>
      <c r="W44" t="str">
        <f t="shared" ref="W44" si="22">W45&amp;":"&amp;W46</f>
        <v>'Data and Lookup'!$Q$15:$Q$22</v>
      </c>
      <c r="X44" t="str">
        <f t="shared" ref="X44" si="23">X45&amp;":"&amp;X46</f>
        <v>'Data and Lookup'!$Q$21:$Q$23</v>
      </c>
      <c r="Y44" t="str">
        <f t="shared" ref="Y44" si="24">Y45&amp;":"&amp;Y46</f>
        <v>'Data and Lookup'!$Q$21:$Q$23</v>
      </c>
    </row>
    <row r="45" spans="2:25" x14ac:dyDescent="0.3">
      <c r="B45" t="s">
        <v>60</v>
      </c>
      <c r="C45" s="45">
        <v>350</v>
      </c>
      <c r="D45" s="45">
        <v>16</v>
      </c>
      <c r="E45" s="45" t="e" vm="39">
        <v>#VALUE!</v>
      </c>
      <c r="U45" s="35" t="str">
        <f>ADDRESS(U$5+6,17,1,1,"Data and Lookup")</f>
        <v>'Data and Lookup'!$Q$16</v>
      </c>
      <c r="V45" s="35" t="str">
        <f>ADDRESS(V$5+6,17,1,1,"Data and Lookup")</f>
        <v>'Data and Lookup'!$Q$32</v>
      </c>
      <c r="W45" s="35" t="str">
        <f>ADDRESS(W$5+6,17,1,1,"Data and Lookup")</f>
        <v>'Data and Lookup'!$Q$15</v>
      </c>
      <c r="X45" s="35" t="str">
        <f>ADDRESS(X$5+6,17,1,1,"Data and Lookup")</f>
        <v>'Data and Lookup'!$Q$21</v>
      </c>
      <c r="Y45" s="35" t="str">
        <f>ADDRESS(Y$5+6,17,1,1,"Data and Lookup")</f>
        <v>'Data and Lookup'!$Q$21</v>
      </c>
    </row>
    <row r="46" spans="2:25" x14ac:dyDescent="0.3">
      <c r="B46" t="s">
        <v>61</v>
      </c>
      <c r="C46" s="45">
        <v>375</v>
      </c>
      <c r="D46" s="45">
        <v>18</v>
      </c>
      <c r="E46" s="45" t="e" vm="40">
        <v>#VALUE!</v>
      </c>
      <c r="U46" s="35" t="str">
        <f>ADDRESS(U$5+U$7+5,17,1,1,)</f>
        <v>$Q$23</v>
      </c>
      <c r="V46" s="35" t="str">
        <f>ADDRESS(V$5+V$7+5,17,1,1,)</f>
        <v>$Q$32</v>
      </c>
      <c r="W46" s="35" t="str">
        <f>ADDRESS(W$5+W$7+5,17,1,1,)</f>
        <v>$Q$22</v>
      </c>
      <c r="X46" s="35" t="str">
        <f>ADDRESS(X$5+X$7+5,17,1,1,)</f>
        <v>$Q$23</v>
      </c>
      <c r="Y46" s="35" t="str">
        <f>ADDRESS(Y$5+Y$7+5,17,1,1,)</f>
        <v>$Q$23</v>
      </c>
    </row>
    <row r="47" spans="2:25" x14ac:dyDescent="0.3">
      <c r="B47" t="s">
        <v>62</v>
      </c>
      <c r="C47" s="45">
        <v>400</v>
      </c>
      <c r="D47" s="45">
        <v>20</v>
      </c>
      <c r="E47" s="45" t="e" vm="40">
        <v>#VALUE!</v>
      </c>
    </row>
    <row r="48" spans="2:25" x14ac:dyDescent="0.3">
      <c r="B48" t="s">
        <v>63</v>
      </c>
      <c r="C48" s="45">
        <v>425</v>
      </c>
      <c r="D48" s="45">
        <v>22</v>
      </c>
      <c r="E48" s="45" t="e" vm="40">
        <v>#VALUE!</v>
      </c>
    </row>
    <row r="49" spans="2:6" x14ac:dyDescent="0.3">
      <c r="B49" t="s">
        <v>64</v>
      </c>
      <c r="C49" s="45">
        <v>450</v>
      </c>
      <c r="D49" s="45">
        <v>24</v>
      </c>
      <c r="E49" s="45" t="e" vm="41">
        <v>#VALUE!</v>
      </c>
    </row>
    <row r="50" spans="2:6" x14ac:dyDescent="0.3">
      <c r="B50" t="s">
        <v>65</v>
      </c>
      <c r="C50" s="45">
        <v>500</v>
      </c>
      <c r="D50" s="45">
        <v>26</v>
      </c>
      <c r="E50" s="45" t="e" vm="41">
        <v>#VALUE!</v>
      </c>
    </row>
    <row r="51" spans="2:6" x14ac:dyDescent="0.3">
      <c r="B51" t="s">
        <v>66</v>
      </c>
      <c r="C51" s="45">
        <v>525</v>
      </c>
      <c r="D51" s="45">
        <v>28</v>
      </c>
      <c r="E51" s="45" t="e" vm="41">
        <v>#VALUE!</v>
      </c>
    </row>
    <row r="52" spans="2:6" x14ac:dyDescent="0.3">
      <c r="B52" t="s">
        <v>67</v>
      </c>
      <c r="C52" s="45">
        <v>550</v>
      </c>
      <c r="D52" s="45">
        <v>30</v>
      </c>
      <c r="E52" s="45" t="e" vm="42">
        <v>#VALUE!</v>
      </c>
    </row>
    <row r="53" spans="2:6" x14ac:dyDescent="0.3">
      <c r="B53" t="s">
        <v>68</v>
      </c>
      <c r="C53" s="45">
        <v>625</v>
      </c>
      <c r="D53" s="45">
        <v>34</v>
      </c>
      <c r="E53" s="45" t="e" vm="42">
        <v>#VALUE!</v>
      </c>
    </row>
    <row r="54" spans="2:6" x14ac:dyDescent="0.3">
      <c r="B54" t="s">
        <v>69</v>
      </c>
      <c r="C54" s="45">
        <v>700</v>
      </c>
      <c r="D54" s="45">
        <v>38</v>
      </c>
      <c r="E54" s="45" t="e" vm="42">
        <v>#VALUE!</v>
      </c>
    </row>
    <row r="55" spans="2:6" x14ac:dyDescent="0.3">
      <c r="B55" t="s">
        <v>70</v>
      </c>
      <c r="C55" s="45">
        <v>775</v>
      </c>
      <c r="D55" s="45">
        <v>42</v>
      </c>
      <c r="E55" s="45" t="e" vm="43">
        <v>#VALUE!</v>
      </c>
    </row>
    <row r="56" spans="2:6" x14ac:dyDescent="0.3">
      <c r="B56" t="s">
        <v>71</v>
      </c>
      <c r="C56" s="45">
        <v>850</v>
      </c>
      <c r="D56" s="45">
        <v>46</v>
      </c>
      <c r="E56" s="45" t="e" vm="43">
        <v>#VALUE!</v>
      </c>
    </row>
    <row r="57" spans="2:6" x14ac:dyDescent="0.3">
      <c r="B57" t="s">
        <v>72</v>
      </c>
      <c r="C57" s="45">
        <v>925</v>
      </c>
      <c r="D57" s="45">
        <v>50</v>
      </c>
      <c r="E57" s="45" t="e" vm="43">
        <v>#VALUE!</v>
      </c>
    </row>
    <row r="58" spans="2:6" x14ac:dyDescent="0.3">
      <c r="B58" t="s">
        <v>73</v>
      </c>
      <c r="C58" s="45">
        <v>1000</v>
      </c>
      <c r="D58" s="45">
        <v>54</v>
      </c>
      <c r="E58" s="45" t="e" vm="44">
        <v>#VALUE!</v>
      </c>
    </row>
    <row r="61" spans="2:6" ht="26.4" customHeight="1" x14ac:dyDescent="0.3">
      <c r="B61" s="43" t="s">
        <v>74</v>
      </c>
      <c r="C61" s="43" t="s">
        <v>75</v>
      </c>
      <c r="D61" s="43" t="s">
        <v>76</v>
      </c>
      <c r="E61" s="43" t="s">
        <v>77</v>
      </c>
    </row>
    <row r="62" spans="2:6" x14ac:dyDescent="0.3">
      <c r="B62" s="45">
        <v>1</v>
      </c>
      <c r="C62" s="45">
        <v>0</v>
      </c>
      <c r="D62" s="45">
        <v>0</v>
      </c>
      <c r="E62" s="45">
        <v>0</v>
      </c>
      <c r="F62" s="45" t="e" vm="45">
        <v>#VALUE!</v>
      </c>
    </row>
    <row r="63" spans="2:6" x14ac:dyDescent="0.3">
      <c r="B63" s="45">
        <v>2</v>
      </c>
      <c r="C63" s="45">
        <v>0</v>
      </c>
      <c r="D63" s="45">
        <v>0</v>
      </c>
      <c r="E63" s="45">
        <v>0</v>
      </c>
      <c r="F63" s="45" t="e" vm="46">
        <v>#VALUE!</v>
      </c>
    </row>
    <row r="64" spans="2:6" x14ac:dyDescent="0.3">
      <c r="B64" s="45">
        <v>3</v>
      </c>
      <c r="C64" s="45">
        <v>0</v>
      </c>
      <c r="D64" s="45">
        <v>0</v>
      </c>
      <c r="E64" s="45">
        <v>0</v>
      </c>
      <c r="F64" s="45" t="e" vm="47">
        <v>#VALUE!</v>
      </c>
    </row>
    <row r="65" spans="2:6" x14ac:dyDescent="0.3">
      <c r="B65" s="45">
        <v>4</v>
      </c>
      <c r="C65" s="45">
        <v>0</v>
      </c>
      <c r="D65" s="45">
        <v>0</v>
      </c>
      <c r="E65" s="45">
        <v>0</v>
      </c>
      <c r="F65" s="45" t="e" vm="48">
        <v>#VALUE!</v>
      </c>
    </row>
    <row r="66" spans="2:6" x14ac:dyDescent="0.3">
      <c r="B66" s="45">
        <v>5</v>
      </c>
      <c r="C66" s="45">
        <v>0</v>
      </c>
      <c r="D66" s="45">
        <v>0</v>
      </c>
      <c r="E66" s="45">
        <v>0</v>
      </c>
      <c r="F66" s="45" t="e" vm="49">
        <v>#VALUE!</v>
      </c>
    </row>
    <row r="67" spans="2:6" x14ac:dyDescent="0.3">
      <c r="B67" s="45">
        <v>6</v>
      </c>
      <c r="C67" s="45">
        <v>0</v>
      </c>
      <c r="D67" s="45">
        <v>0</v>
      </c>
      <c r="E67" s="45">
        <v>0</v>
      </c>
      <c r="F67" s="45" t="e" vm="50">
        <v>#VALUE!</v>
      </c>
    </row>
    <row r="68" spans="2:6" x14ac:dyDescent="0.3">
      <c r="B68" s="45">
        <v>7</v>
      </c>
      <c r="C68" s="45">
        <v>0</v>
      </c>
      <c r="D68" s="45">
        <v>0</v>
      </c>
      <c r="E68" s="45">
        <v>0</v>
      </c>
      <c r="F68" s="45" t="e" vm="51">
        <v>#VALUE!</v>
      </c>
    </row>
    <row r="69" spans="2:6" x14ac:dyDescent="0.3">
      <c r="B69" s="45">
        <v>8</v>
      </c>
      <c r="C69" s="45">
        <v>380</v>
      </c>
      <c r="D69" s="45">
        <v>15</v>
      </c>
      <c r="E69" s="45">
        <v>0</v>
      </c>
      <c r="F69" s="45" t="e" vm="52">
        <v>#VALUE!</v>
      </c>
    </row>
    <row r="70" spans="2:6" x14ac:dyDescent="0.3">
      <c r="B70" s="45">
        <v>9</v>
      </c>
      <c r="C70" s="45">
        <v>410</v>
      </c>
      <c r="D70" s="45">
        <v>18</v>
      </c>
      <c r="E70" s="45">
        <v>0</v>
      </c>
      <c r="F70" s="45" t="e" vm="53">
        <v>#VALUE!</v>
      </c>
    </row>
    <row r="71" spans="2:6" x14ac:dyDescent="0.3">
      <c r="B71" s="45">
        <v>10</v>
      </c>
      <c r="C71" s="45">
        <v>460</v>
      </c>
      <c r="D71" s="45">
        <v>21</v>
      </c>
      <c r="E71" s="45">
        <v>3</v>
      </c>
      <c r="F71" s="45" t="e" vm="54">
        <v>#VALUE!</v>
      </c>
    </row>
    <row r="72" spans="2:6" x14ac:dyDescent="0.3">
      <c r="B72" s="45">
        <v>11</v>
      </c>
      <c r="C72" s="45">
        <v>560</v>
      </c>
      <c r="D72" s="45">
        <v>24</v>
      </c>
      <c r="E72" s="45">
        <v>3</v>
      </c>
      <c r="F72" s="45" t="e" vm="55">
        <v>#VALUE!</v>
      </c>
    </row>
    <row r="73" spans="2:6" x14ac:dyDescent="0.3">
      <c r="B73" s="45">
        <v>12</v>
      </c>
      <c r="C73" s="45">
        <v>610</v>
      </c>
      <c r="D73" s="45">
        <v>27</v>
      </c>
      <c r="E73" s="45">
        <v>4</v>
      </c>
      <c r="F73" s="45" t="e" vm="56">
        <v>#VALUE!</v>
      </c>
    </row>
    <row r="74" spans="2:6" x14ac:dyDescent="0.3">
      <c r="B74" s="45">
        <v>13</v>
      </c>
      <c r="C74" s="45">
        <v>710</v>
      </c>
      <c r="D74" s="45">
        <v>30</v>
      </c>
      <c r="E74" s="45">
        <v>4</v>
      </c>
      <c r="F74" s="45" t="e" vm="57">
        <v>#VALUE!</v>
      </c>
    </row>
    <row r="75" spans="2:6" x14ac:dyDescent="0.3">
      <c r="B75" s="45">
        <v>14</v>
      </c>
      <c r="C75" s="45">
        <v>810</v>
      </c>
      <c r="D75" s="45">
        <v>33</v>
      </c>
      <c r="E75" s="45">
        <v>5</v>
      </c>
      <c r="F75" s="45" t="e" vm="58">
        <v>#VALUE!</v>
      </c>
    </row>
    <row r="76" spans="2:6" x14ac:dyDescent="0.3">
      <c r="B76" s="45">
        <v>15</v>
      </c>
      <c r="C76" s="45">
        <v>960</v>
      </c>
      <c r="D76" s="45">
        <v>36</v>
      </c>
      <c r="E76" s="45">
        <v>5</v>
      </c>
      <c r="F76" s="45" t="e" vm="59">
        <v>#VALUE!</v>
      </c>
    </row>
    <row r="77" spans="2:6" x14ac:dyDescent="0.3">
      <c r="B77" s="45">
        <v>16</v>
      </c>
      <c r="C77" s="46">
        <v>1110</v>
      </c>
      <c r="D77" s="45">
        <v>39</v>
      </c>
      <c r="E77" s="45">
        <v>6</v>
      </c>
      <c r="F77" s="45" t="e" vm="60">
        <v>#VALUE!</v>
      </c>
    </row>
    <row r="79" spans="2:6" x14ac:dyDescent="0.3">
      <c r="B79" s="45" t="s">
        <v>81</v>
      </c>
      <c r="C79" s="45" t="s">
        <v>83</v>
      </c>
    </row>
    <row r="80" spans="2:6" x14ac:dyDescent="0.3">
      <c r="B80" s="45" t="s">
        <v>82</v>
      </c>
      <c r="C80" s="59">
        <v>2</v>
      </c>
      <c r="D80" s="56"/>
    </row>
    <row r="81" spans="2:4" x14ac:dyDescent="0.3">
      <c r="B81" s="45" t="s">
        <v>85</v>
      </c>
      <c r="C81" s="59">
        <f>3.5</f>
        <v>3.5</v>
      </c>
      <c r="D81" s="56"/>
    </row>
    <row r="82" spans="2:4" x14ac:dyDescent="0.3">
      <c r="B82" s="45" t="s">
        <v>84</v>
      </c>
      <c r="C82" s="60">
        <v>7</v>
      </c>
      <c r="D82" s="56"/>
    </row>
    <row r="83" spans="2:4" x14ac:dyDescent="0.3">
      <c r="B83" s="45" t="s">
        <v>86</v>
      </c>
      <c r="C83" s="59">
        <v>14</v>
      </c>
      <c r="D83" s="56"/>
    </row>
    <row r="84" spans="2:4" x14ac:dyDescent="0.3">
      <c r="B84" s="45" t="s">
        <v>87</v>
      </c>
      <c r="C84" s="59">
        <v>31</v>
      </c>
      <c r="D84" s="56"/>
    </row>
  </sheetData>
  <mergeCells count="1">
    <mergeCell ref="B2:E3"/>
  </mergeCells>
  <phoneticPr fontId="7" type="noConversion"/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Objectives</vt:lpstr>
      <vt:lpstr>Planner</vt:lpstr>
      <vt:lpstr>Data and Lookup</vt:lpstr>
      <vt:lpstr>Common_Levels</vt:lpstr>
      <vt:lpstr>Common_Max_Level</vt:lpstr>
      <vt:lpstr>Epic_Levels</vt:lpstr>
      <vt:lpstr>Epic_Max_Level</vt:lpstr>
      <vt:lpstr>Equipment_Name</vt:lpstr>
      <vt:lpstr>League</vt:lpstr>
      <vt:lpstr>publish_this</vt:lpstr>
      <vt:lpstr>Town_Hall</vt:lpstr>
      <vt:lpstr>War_Frequency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Asher Georgy</dc:creator>
  <cp:lastModifiedBy>Asher Georgy</cp:lastModifiedBy>
  <dcterms:created xsi:type="dcterms:W3CDTF">2023-12-29T16:04:42Z</dcterms:created>
  <dcterms:modified xsi:type="dcterms:W3CDTF">2023-12-31T11:48:28Z</dcterms:modified>
</cp:coreProperties>
</file>